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tdsw\Desktop\"/>
    </mc:Choice>
  </mc:AlternateContent>
  <xr:revisionPtr revIDLastSave="0" documentId="13_ncr:1_{24131643-1D3F-4904-BAEC-4233B4515234}" xr6:coauthVersionLast="47" xr6:coauthVersionMax="47" xr10:uidLastSave="{00000000-0000-0000-0000-000000000000}"/>
  <bookViews>
    <workbookView xWindow="-108" yWindow="492" windowWidth="23256" windowHeight="12576" activeTab="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3" l="1"/>
  <c r="C54" i="3"/>
  <c r="D53" i="3"/>
  <c r="C53" i="3"/>
  <c r="R36" i="3"/>
  <c r="E36" i="3"/>
  <c r="I36" i="3" s="1"/>
  <c r="P36" i="3" s="1"/>
  <c r="I38" i="3"/>
  <c r="P38" i="3" s="1"/>
  <c r="S38" i="3" s="1"/>
  <c r="I33" i="3"/>
  <c r="P33" i="3" s="1"/>
  <c r="I34" i="3"/>
  <c r="P34" i="3" s="1"/>
  <c r="I35" i="3"/>
  <c r="P35" i="3" s="1"/>
  <c r="S35" i="3" s="1"/>
  <c r="I32" i="3"/>
  <c r="P32" i="3" s="1"/>
  <c r="M3" i="3"/>
  <c r="M5" i="3"/>
  <c r="C13" i="1"/>
  <c r="I13" i="1" s="1"/>
  <c r="O13" i="1" s="1"/>
  <c r="R13" i="1" s="1"/>
  <c r="C12" i="1"/>
  <c r="C9" i="1"/>
  <c r="Z40" i="3"/>
  <c r="Y40" i="3"/>
  <c r="Y42" i="3"/>
  <c r="Z41" i="3"/>
  <c r="Y38" i="3"/>
  <c r="Z38" i="3"/>
  <c r="Y39" i="3"/>
  <c r="Z39" i="3"/>
  <c r="Y37" i="3"/>
  <c r="Z37" i="3"/>
  <c r="C46" i="1"/>
  <c r="G65" i="3"/>
  <c r="D65" i="3"/>
  <c r="D64" i="3"/>
  <c r="K64" i="3" s="1"/>
  <c r="E32" i="2"/>
  <c r="F30" i="2"/>
  <c r="E30" i="2"/>
  <c r="E31" i="2" s="1"/>
  <c r="G30" i="2"/>
  <c r="H30" i="2"/>
  <c r="D30" i="2"/>
  <c r="D23" i="2"/>
  <c r="F23" i="2"/>
  <c r="F24" i="2" s="1"/>
  <c r="E23" i="2"/>
  <c r="I12" i="1"/>
  <c r="F44" i="1"/>
  <c r="F45" i="1"/>
  <c r="F46" i="1"/>
  <c r="C44" i="1"/>
  <c r="C45" i="1"/>
  <c r="B44" i="1"/>
  <c r="B45" i="1"/>
  <c r="B46" i="1"/>
  <c r="F43" i="1"/>
  <c r="C43" i="1"/>
  <c r="B43" i="1"/>
  <c r="E44" i="1"/>
  <c r="E45" i="1"/>
  <c r="E46" i="1"/>
  <c r="E43" i="1"/>
  <c r="G46" i="1"/>
  <c r="K46" i="1" s="1"/>
  <c r="O46" i="1" s="1"/>
  <c r="J37" i="1"/>
  <c r="C37" i="1"/>
  <c r="I37" i="1" s="1"/>
  <c r="J36" i="1"/>
  <c r="C36" i="1"/>
  <c r="I36" i="1" s="1"/>
  <c r="J34" i="1"/>
  <c r="C34" i="1"/>
  <c r="I34" i="1" s="1"/>
  <c r="J33" i="1"/>
  <c r="C33" i="1"/>
  <c r="I33" i="1" s="1"/>
  <c r="J30" i="1"/>
  <c r="C30" i="1"/>
  <c r="I30" i="1" s="1"/>
  <c r="J29" i="1"/>
  <c r="C29" i="1"/>
  <c r="I29" i="1" s="1"/>
  <c r="Q27" i="1"/>
  <c r="Q26" i="1"/>
  <c r="Q25" i="1"/>
  <c r="Q24" i="1"/>
  <c r="J27" i="1"/>
  <c r="C27" i="1"/>
  <c r="I27" i="1" s="1"/>
  <c r="J26" i="1"/>
  <c r="C26" i="1"/>
  <c r="I26" i="1" s="1"/>
  <c r="J25" i="1"/>
  <c r="C25" i="1"/>
  <c r="I25" i="1" s="1"/>
  <c r="J24" i="1"/>
  <c r="C24" i="1"/>
  <c r="I24" i="1" s="1"/>
  <c r="J23" i="1"/>
  <c r="C23" i="1"/>
  <c r="I23" i="1" s="1"/>
  <c r="J22" i="1"/>
  <c r="C22" i="1"/>
  <c r="I22" i="1" s="1"/>
  <c r="C15" i="1"/>
  <c r="I15" i="1" s="1"/>
  <c r="J15" i="1"/>
  <c r="C16" i="1"/>
  <c r="I16" i="1" s="1"/>
  <c r="J16" i="1"/>
  <c r="C17" i="1"/>
  <c r="I17" i="1" s="1"/>
  <c r="J17" i="1"/>
  <c r="C18" i="1"/>
  <c r="I18" i="1" s="1"/>
  <c r="J18" i="1"/>
  <c r="C19" i="1"/>
  <c r="I19" i="1" s="1"/>
  <c r="J19" i="1"/>
  <c r="C20" i="1"/>
  <c r="I20" i="1" s="1"/>
  <c r="J20" i="1"/>
  <c r="J11" i="1"/>
  <c r="J10" i="1"/>
  <c r="J9" i="1"/>
  <c r="C10" i="1"/>
  <c r="I10" i="1" s="1"/>
  <c r="C11" i="1"/>
  <c r="I11" i="1" s="1"/>
  <c r="I9" i="1"/>
  <c r="S36" i="3" l="1"/>
  <c r="AA40" i="3"/>
  <c r="AB40" i="3" s="1"/>
  <c r="AA39" i="3"/>
  <c r="AB39" i="3" s="1"/>
  <c r="AA38" i="3"/>
  <c r="AB38" i="3" s="1"/>
  <c r="AA37" i="3"/>
  <c r="AB37" i="3" s="1"/>
  <c r="S34" i="3"/>
  <c r="S33" i="3"/>
  <c r="K65" i="3"/>
  <c r="S65" i="3" s="1"/>
  <c r="V65" i="3" s="1"/>
  <c r="S64" i="3"/>
  <c r="V64" i="3" s="1"/>
  <c r="S32" i="3"/>
  <c r="E24" i="2"/>
  <c r="F31" i="2"/>
  <c r="I14" i="1"/>
  <c r="O29" i="1"/>
  <c r="G45" i="1"/>
  <c r="K45" i="1" s="1"/>
  <c r="O45" i="1" s="1"/>
  <c r="G43" i="1"/>
  <c r="K43" i="1" s="1"/>
  <c r="O43" i="1" s="1"/>
  <c r="G44" i="1"/>
  <c r="K44" i="1" s="1"/>
  <c r="O44" i="1" s="1"/>
  <c r="O30" i="1"/>
  <c r="R30" i="1" s="1"/>
  <c r="O37" i="1"/>
  <c r="R37" i="1" s="1"/>
  <c r="O36" i="1"/>
  <c r="R36" i="1" s="1"/>
  <c r="O34" i="1"/>
  <c r="R34" i="1" s="1"/>
  <c r="O33" i="1"/>
  <c r="R33" i="1" s="1"/>
  <c r="R29" i="1"/>
  <c r="O19" i="1"/>
  <c r="R19" i="1" s="1"/>
  <c r="O25" i="1"/>
  <c r="R25" i="1" s="1"/>
  <c r="O22" i="1"/>
  <c r="R22" i="1" s="1"/>
  <c r="O26" i="1"/>
  <c r="R26" i="1" s="1"/>
  <c r="O23" i="1"/>
  <c r="R23" i="1" s="1"/>
  <c r="O27" i="1"/>
  <c r="R27" i="1" s="1"/>
  <c r="O24" i="1"/>
  <c r="R24" i="1" s="1"/>
  <c r="O17" i="1"/>
  <c r="R17" i="1" s="1"/>
  <c r="O20" i="1"/>
  <c r="R20" i="1" s="1"/>
  <c r="O16" i="1"/>
  <c r="R16" i="1" s="1"/>
  <c r="O18" i="1"/>
  <c r="R18" i="1" s="1"/>
  <c r="O15" i="1"/>
  <c r="R15" i="1" s="1"/>
  <c r="O12" i="1"/>
  <c r="R12" i="1" s="1"/>
  <c r="O10" i="1"/>
  <c r="R10" i="1" s="1"/>
  <c r="O11" i="1"/>
  <c r="R11" i="1" s="1"/>
  <c r="O9" i="1"/>
  <c r="R9" i="1" s="1"/>
  <c r="R14" i="1" l="1"/>
  <c r="T12" i="1"/>
</calcChain>
</file>

<file path=xl/sharedStrings.xml><?xml version="1.0" encoding="utf-8"?>
<sst xmlns="http://schemas.openxmlformats.org/spreadsheetml/2006/main" count="207" uniqueCount="146">
  <si>
    <t>龙卷雨击的输出 = （0.0069 *技能等级^2 +1.4116 *技能等级 +法伤 -法防 +33.521）*各种系数</t>
  </si>
  <si>
    <t>系数包括：</t>
  </si>
  <si>
    <t>分灵系数= 1-目标单位*0.1</t>
  </si>
  <si>
    <t>阵法、卡片、修炼差、罗汉之类的别的影响</t>
  </si>
  <si>
    <t>分灵系数</t>
    <phoneticPr fontId="1" type="noConversion"/>
  </si>
  <si>
    <t>法伤</t>
    <phoneticPr fontId="1" type="noConversion"/>
  </si>
  <si>
    <t>天阵</t>
    <phoneticPr fontId="1" type="noConversion"/>
  </si>
  <si>
    <t>修炼法结</t>
    <phoneticPr fontId="1" type="noConversion"/>
  </si>
  <si>
    <t>装备法结</t>
    <phoneticPr fontId="1" type="noConversion"/>
  </si>
  <si>
    <t>最终结果</t>
    <phoneticPr fontId="1" type="noConversion"/>
  </si>
  <si>
    <t>法防</t>
    <phoneticPr fontId="1" type="noConversion"/>
  </si>
  <si>
    <t>一级修炼差</t>
    <phoneticPr fontId="1" type="noConversion"/>
  </si>
  <si>
    <t>固定值</t>
    <phoneticPr fontId="1" type="noConversion"/>
  </si>
  <si>
    <t>门派技能等级</t>
    <phoneticPr fontId="1" type="noConversion"/>
  </si>
  <si>
    <t>固定系数</t>
    <phoneticPr fontId="1" type="noConversion"/>
  </si>
  <si>
    <t>门派技能等级*2</t>
    <phoneticPr fontId="1" type="noConversion"/>
  </si>
  <si>
    <t>蝴蝶变身卡</t>
    <phoneticPr fontId="1" type="noConversion"/>
  </si>
  <si>
    <t>原始伤害数据</t>
    <phoneticPr fontId="1" type="noConversion"/>
  </si>
  <si>
    <t>第一次数据结果</t>
    <phoneticPr fontId="1" type="noConversion"/>
  </si>
  <si>
    <t>秒1</t>
    <phoneticPr fontId="1" type="noConversion"/>
  </si>
  <si>
    <t>秒2</t>
  </si>
  <si>
    <t>秒3</t>
  </si>
  <si>
    <t>秒4</t>
  </si>
  <si>
    <t>乘法叠加</t>
    <phoneticPr fontId="1" type="noConversion"/>
  </si>
  <si>
    <t>加法叠加</t>
    <phoneticPr fontId="1" type="noConversion"/>
  </si>
  <si>
    <t>五行相克</t>
    <phoneticPr fontId="1" type="noConversion"/>
  </si>
  <si>
    <t>武器五行水</t>
    <phoneticPr fontId="1" type="noConversion"/>
  </si>
  <si>
    <t>理论克制</t>
    <phoneticPr fontId="1" type="noConversion"/>
  </si>
  <si>
    <t>第一次实际克制</t>
    <phoneticPr fontId="1" type="noConversion"/>
  </si>
  <si>
    <t>第二次实际克制</t>
    <phoneticPr fontId="1" type="noConversion"/>
  </si>
  <si>
    <t>第三次实际克制</t>
    <phoneticPr fontId="1" type="noConversion"/>
  </si>
  <si>
    <t>武器水</t>
    <phoneticPr fontId="1" type="noConversion"/>
  </si>
  <si>
    <t>钟灵石火</t>
    <phoneticPr fontId="1" type="noConversion"/>
  </si>
  <si>
    <t>武器五行火</t>
    <phoneticPr fontId="1" type="noConversion"/>
  </si>
  <si>
    <t>测试结论：</t>
    <phoneticPr fontId="1" type="noConversion"/>
  </si>
  <si>
    <t>序号</t>
    <phoneticPr fontId="1" type="noConversion"/>
  </si>
  <si>
    <t>装备状态</t>
    <phoneticPr fontId="1" type="noConversion"/>
  </si>
  <si>
    <t>回眸一笑对五行钟灵石和基础克制的加成效果测试</t>
    <phoneticPr fontId="1" type="noConversion"/>
  </si>
  <si>
    <t>有武器，无钟灵石，2件回眸一笑</t>
    <phoneticPr fontId="1" type="noConversion"/>
  </si>
  <si>
    <t>有武器，4%钟灵石，无回眸一笑，属性相同</t>
    <phoneticPr fontId="1" type="noConversion"/>
  </si>
  <si>
    <t>有武器，4%钟灵石，4%回眸一笑，最大单属性克制</t>
    <phoneticPr fontId="1" type="noConversion"/>
  </si>
  <si>
    <t>1、有的木桩只有攻击五行，没有防御五行</t>
    <phoneticPr fontId="1" type="noConversion"/>
  </si>
  <si>
    <t>2、有的木桩只有防御五行，没有攻击五行</t>
    <phoneticPr fontId="1" type="noConversion"/>
  </si>
  <si>
    <t>3、有的木桩没有属性</t>
    <phoneticPr fontId="1" type="noConversion"/>
  </si>
  <si>
    <t>在不考虑五行就瞎秒一通的情况下，必然会出现-10%，0，5%，10%的数据波动</t>
    <phoneticPr fontId="1" type="noConversion"/>
  </si>
  <si>
    <t>只有武器，无钟灵石，无其他装备</t>
    <phoneticPr fontId="1" type="noConversion"/>
  </si>
  <si>
    <t>根据天宫知己知彼查看，木桩偶尔有以下特点：</t>
    <phoneticPr fontId="1" type="noConversion"/>
  </si>
  <si>
    <t>克制关系</t>
    <phoneticPr fontId="1" type="noConversion"/>
  </si>
  <si>
    <t>人物属性：69神木林，9级修炼，灵饰49法结，回眸一笑4%效果，钟灵石4%五行克制。
测试时扣除9层修炼级，修炼结果及装备法结，全程无风灵。平秒到不克制属性即为基础伤害。</t>
    <phoneticPr fontId="1" type="noConversion"/>
  </si>
  <si>
    <t>14%，武器克火</t>
    <phoneticPr fontId="1" type="noConversion"/>
  </si>
  <si>
    <t>8%，钟灵石克金</t>
    <phoneticPr fontId="1" type="noConversion"/>
  </si>
  <si>
    <t>克制成立</t>
    <phoneticPr fontId="1" type="noConversion"/>
  </si>
  <si>
    <t>只克4%</t>
    <phoneticPr fontId="1" type="noConversion"/>
  </si>
  <si>
    <t>回眸一笑符石只对基础克制有增幅，对钟灵石克制无增幅，克制都属于加法叠加效果</t>
    <phoneticPr fontId="1" type="noConversion"/>
  </si>
  <si>
    <t>双克制情况下，总体输出与最大单克制基本相同</t>
    <phoneticPr fontId="1" type="noConversion"/>
  </si>
  <si>
    <t>有武器，4%钟灵石，4%回眸一笑，双属性克制（使用天宫知己知彼，标记每个木桩防御五行）</t>
    <phoneticPr fontId="1" type="noConversion"/>
  </si>
  <si>
    <t>荆棘舞公式</t>
    <phoneticPr fontId="1" type="noConversion"/>
  </si>
  <si>
    <t>等级</t>
    <phoneticPr fontId="1" type="noConversion"/>
  </si>
  <si>
    <t>门派技等级</t>
    <phoneticPr fontId="1" type="noConversion"/>
  </si>
  <si>
    <t>结果</t>
    <phoneticPr fontId="1" type="noConversion"/>
  </si>
  <si>
    <t>一条法伤</t>
    <phoneticPr fontId="1" type="noConversion"/>
  </si>
  <si>
    <t>二条法伤</t>
    <phoneticPr fontId="1" type="noConversion"/>
  </si>
  <si>
    <t>三条法伤</t>
    <phoneticPr fontId="1" type="noConversion"/>
  </si>
  <si>
    <t>四条法伤</t>
    <phoneticPr fontId="1" type="noConversion"/>
  </si>
  <si>
    <t>五条法伤</t>
    <phoneticPr fontId="1" type="noConversion"/>
  </si>
  <si>
    <t>六条法伤</t>
    <phoneticPr fontId="1" type="noConversion"/>
  </si>
  <si>
    <t>差额</t>
    <phoneticPr fontId="1" type="noConversion"/>
  </si>
  <si>
    <t>一条法结</t>
    <phoneticPr fontId="1" type="noConversion"/>
  </si>
  <si>
    <t>二条法结</t>
    <phoneticPr fontId="1" type="noConversion"/>
  </si>
  <si>
    <t>三条法结</t>
    <phoneticPr fontId="1" type="noConversion"/>
  </si>
  <si>
    <t>四条法结</t>
    <phoneticPr fontId="1" type="noConversion"/>
  </si>
  <si>
    <t>五条法结</t>
    <phoneticPr fontId="1" type="noConversion"/>
  </si>
  <si>
    <t>六条法结</t>
    <phoneticPr fontId="1" type="noConversion"/>
  </si>
  <si>
    <t>按星辉石段数比较</t>
    <phoneticPr fontId="1" type="noConversion"/>
  </si>
  <si>
    <t>法爆时</t>
    <phoneticPr fontId="1" type="noConversion"/>
  </si>
  <si>
    <t>以69普通任务为例，怪物300法防，1级法抗，无灵饰状态下有1000法伤</t>
    <phoneticPr fontId="1" type="noConversion"/>
  </si>
  <si>
    <t>加1法伤</t>
    <phoneticPr fontId="1" type="noConversion"/>
  </si>
  <si>
    <t>加1法结</t>
    <phoneticPr fontId="1" type="noConversion"/>
  </si>
  <si>
    <t>加100法伤</t>
    <phoneticPr fontId="1" type="noConversion"/>
  </si>
  <si>
    <t>加100法结</t>
    <phoneticPr fontId="1" type="noConversion"/>
  </si>
  <si>
    <t>雨落寒沙PVE</t>
    <phoneticPr fontId="1" type="noConversion"/>
  </si>
  <si>
    <t>雨落寒沙伤害=（师门技能项+暗器技巧项+附加伤害项+敏捷*0.5+灵饰固伤项）*阵法*分灵系数*（1+修炼差*0.02）+修炼差*5+神木符+孔装+点选项</t>
    <phoneticPr fontId="1" type="noConversion"/>
  </si>
  <si>
    <t>秒2</t>
    <phoneticPr fontId="1" type="noConversion"/>
  </si>
  <si>
    <t>秒3</t>
    <phoneticPr fontId="1" type="noConversion"/>
  </si>
  <si>
    <t>秒4</t>
    <phoneticPr fontId="1" type="noConversion"/>
  </si>
  <si>
    <t>师门技能项</t>
    <phoneticPr fontId="1" type="noConversion"/>
  </si>
  <si>
    <t>暗器技巧</t>
    <phoneticPr fontId="1" type="noConversion"/>
  </si>
  <si>
    <t>附加伤害项</t>
    <phoneticPr fontId="1" type="noConversion"/>
  </si>
  <si>
    <t>敏捷*0.5</t>
  </si>
  <si>
    <t>灵饰固伤项</t>
    <phoneticPr fontId="1" type="noConversion"/>
  </si>
  <si>
    <t>第一次伤害结果</t>
    <phoneticPr fontId="1" type="noConversion"/>
  </si>
  <si>
    <t>阵法</t>
    <phoneticPr fontId="1" type="noConversion"/>
  </si>
  <si>
    <t>修炼差</t>
    <phoneticPr fontId="1" type="noConversion"/>
  </si>
  <si>
    <t>第二次结果</t>
    <phoneticPr fontId="1" type="noConversion"/>
  </si>
  <si>
    <t>最终数据</t>
    <phoneticPr fontId="1" type="noConversion"/>
  </si>
  <si>
    <t>孔装</t>
    <phoneticPr fontId="1" type="noConversion"/>
  </si>
  <si>
    <t>平秒</t>
    <phoneticPr fontId="1" type="noConversion"/>
  </si>
  <si>
    <t>克制</t>
    <phoneticPr fontId="1" type="noConversion"/>
  </si>
  <si>
    <t>被克</t>
    <phoneticPr fontId="1" type="noConversion"/>
  </si>
  <si>
    <t>原始伤害</t>
    <phoneticPr fontId="1" type="noConversion"/>
  </si>
  <si>
    <t>秒金</t>
    <phoneticPr fontId="1" type="noConversion"/>
  </si>
  <si>
    <t>秒木</t>
    <phoneticPr fontId="1" type="noConversion"/>
  </si>
  <si>
    <t>秒土</t>
    <phoneticPr fontId="1" type="noConversion"/>
  </si>
  <si>
    <t>秒水</t>
    <phoneticPr fontId="1" type="noConversion"/>
  </si>
  <si>
    <t>秒火</t>
    <phoneticPr fontId="1" type="noConversion"/>
  </si>
  <si>
    <t>69神木林，装备49法结，木属性武器，五行钟灵石为烈火燎原，克金</t>
    <phoneticPr fontId="1" type="noConversion"/>
  </si>
  <si>
    <t>荆棘舞</t>
    <phoneticPr fontId="1" type="noConversion"/>
  </si>
  <si>
    <t>法修</t>
    <phoneticPr fontId="1" type="noConversion"/>
  </si>
  <si>
    <t>落叶潇潇</t>
    <phoneticPr fontId="1" type="noConversion"/>
  </si>
  <si>
    <t>技能等级</t>
    <phoneticPr fontId="1" type="noConversion"/>
  </si>
  <si>
    <t>实际伤害</t>
    <phoneticPr fontId="1" type="noConversion"/>
  </si>
  <si>
    <t>落叶潇潇公式</t>
    <phoneticPr fontId="1" type="noConversion"/>
  </si>
  <si>
    <t>第一次结果</t>
    <phoneticPr fontId="1" type="noConversion"/>
  </si>
  <si>
    <t>分灵</t>
    <phoneticPr fontId="1" type="noConversion"/>
  </si>
  <si>
    <t>五行</t>
    <phoneticPr fontId="1" type="noConversion"/>
  </si>
  <si>
    <t>蝴蝶卡</t>
    <phoneticPr fontId="1" type="noConversion"/>
  </si>
  <si>
    <t>门派级能等级</t>
    <phoneticPr fontId="1" type="noConversion"/>
  </si>
  <si>
    <t>固定系数2.5</t>
    <phoneticPr fontId="1" type="noConversion"/>
  </si>
  <si>
    <t>2.5*门派技能等级+2.5</t>
    <phoneticPr fontId="1" type="noConversion"/>
  </si>
  <si>
    <t>灵力波动值</t>
    <phoneticPr fontId="1" type="noConversion"/>
  </si>
  <si>
    <t>法爆</t>
    <phoneticPr fontId="1" type="noConversion"/>
  </si>
  <si>
    <t>实际场景公式</t>
    <phoneticPr fontId="1" type="noConversion"/>
  </si>
  <si>
    <t>（2.5*门派技能等级+（法伤-法防+灵力波动值）+2.5）*法爆*分灵系数*阵法克制*五行*修炼差*变身卡+修炼法结+装备法结+神木符</t>
    <phoneticPr fontId="1" type="noConversion"/>
  </si>
  <si>
    <t>门派技能81</t>
    <phoneticPr fontId="1" type="noConversion"/>
  </si>
  <si>
    <t>荆棘舞简化公式</t>
    <phoneticPr fontId="1" type="noConversion"/>
  </si>
  <si>
    <t>风灵层数</t>
    <phoneticPr fontId="1" type="noConversion"/>
  </si>
  <si>
    <t>门派级能等级*2</t>
    <phoneticPr fontId="1" type="noConversion"/>
  </si>
  <si>
    <t>0.01*门派技能等级*2 + 1.5878*门派技能等级 + 49.704</t>
    <phoneticPr fontId="1" type="noConversion"/>
  </si>
  <si>
    <t>0.01*门派技能等级*2 + 1.59*门派技能等级 +50</t>
    <phoneticPr fontId="1" type="noConversion"/>
  </si>
  <si>
    <t>（0.01*门派技能等级*2+1.59*门派技能等级+（法伤-法防+灵力波动值）+50）*法爆*分灵系数*阵法克制*五行*修炼差*变身卡*风灵层数*1.15+修炼法结+装备法结+神木符</t>
    <phoneticPr fontId="1" type="noConversion"/>
  </si>
  <si>
    <t>龙卷公式</t>
    <phoneticPr fontId="1" type="noConversion"/>
  </si>
  <si>
    <t>灵力波动值（随机）</t>
    <phoneticPr fontId="1" type="noConversion"/>
  </si>
  <si>
    <t>郊外封妖</t>
    <phoneticPr fontId="1" type="noConversion"/>
  </si>
  <si>
    <t>地狱战神</t>
    <phoneticPr fontId="1" type="noConversion"/>
  </si>
  <si>
    <t>69封妖为例，已知怪物法防约220-260左右，怪物攻修法修8；法防物防2</t>
    <phoneticPr fontId="1" type="noConversion"/>
  </si>
  <si>
    <t>（下面公式不准确）</t>
    <phoneticPr fontId="1" type="noConversion"/>
  </si>
  <si>
    <t>不分灵</t>
    <phoneticPr fontId="1" type="noConversion"/>
  </si>
  <si>
    <t>主秒</t>
    <phoneticPr fontId="1" type="noConversion"/>
  </si>
  <si>
    <t>副秒</t>
    <phoneticPr fontId="1" type="noConversion"/>
  </si>
  <si>
    <t>无降魔杵</t>
    <phoneticPr fontId="1" type="noConversion"/>
  </si>
  <si>
    <t>切入战斗3次</t>
    <phoneticPr fontId="1" type="noConversion"/>
  </si>
  <si>
    <t>不变</t>
    <phoneticPr fontId="1" type="noConversion"/>
  </si>
  <si>
    <t>有降魔杵</t>
    <phoneticPr fontId="1" type="noConversion"/>
  </si>
  <si>
    <t>切入战斗4次</t>
    <phoneticPr fontId="1" type="noConversion"/>
  </si>
  <si>
    <t>平均</t>
    <phoneticPr fontId="1" type="noConversion"/>
  </si>
  <si>
    <t>11层差值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</si>
</sst>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9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10" fontId="0" fillId="4" borderId="0" xfId="0" applyNumberFormat="1" applyFill="1"/>
    <xf numFmtId="0" fontId="0" fillId="5" borderId="0" xfId="0" applyFill="1"/>
    <xf numFmtId="9" fontId="0" fillId="5" borderId="0" xfId="0" applyNumberFormat="1" applyFill="1" applyAlignment="1">
      <alignment horizontal="center"/>
    </xf>
    <xf numFmtId="10" fontId="0" fillId="5" borderId="0" xfId="0" applyNumberFormat="1" applyFill="1"/>
    <xf numFmtId="0" fontId="0" fillId="5" borderId="0" xfId="0" applyFill="1" applyAlignment="1">
      <alignment wrapText="1"/>
    </xf>
    <xf numFmtId="0" fontId="2" fillId="0" borderId="0" xfId="0" applyFont="1" applyAlignment="1">
      <alignment horizontal="center" vertical="center"/>
    </xf>
    <xf numFmtId="0" fontId="0" fillId="6" borderId="0" xfId="0" applyFill="1"/>
    <xf numFmtId="0" fontId="0" fillId="7" borderId="0" xfId="0" applyFill="1"/>
    <xf numFmtId="0" fontId="0" fillId="0" borderId="0" xfId="0" applyFill="1"/>
    <xf numFmtId="0" fontId="0" fillId="10" borderId="0" xfId="0" applyFill="1"/>
    <xf numFmtId="0" fontId="3" fillId="0" borderId="0" xfId="0" applyFont="1"/>
    <xf numFmtId="0" fontId="4" fillId="10" borderId="0" xfId="0" applyFont="1" applyFill="1"/>
    <xf numFmtId="0" fontId="3" fillId="9" borderId="0" xfId="0" applyFont="1" applyFill="1"/>
    <xf numFmtId="0" fontId="3" fillId="8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4" fillId="9" borderId="0" xfId="0" applyFont="1" applyFill="1"/>
    <xf numFmtId="0" fontId="3" fillId="6" borderId="0" xfId="0" applyFont="1" applyFill="1" applyAlignment="1">
      <alignment wrapText="1"/>
    </xf>
    <xf numFmtId="0" fontId="3" fillId="11" borderId="0" xfId="0" applyFont="1" applyFill="1"/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8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5363035870516187"/>
                  <c:y val="-1.703703703703703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Sheet1!$B$55:$B$61</c:f>
              <c:numCache>
                <c:formatCode>General</c:formatCode>
                <c:ptCount val="7"/>
                <c:pt idx="0">
                  <c:v>61</c:v>
                </c:pt>
                <c:pt idx="1">
                  <c:v>115</c:v>
                </c:pt>
                <c:pt idx="2">
                  <c:v>119</c:v>
                </c:pt>
                <c:pt idx="3">
                  <c:v>150</c:v>
                </c:pt>
                <c:pt idx="4">
                  <c:v>158</c:v>
                </c:pt>
                <c:pt idx="5">
                  <c:v>180</c:v>
                </c:pt>
                <c:pt idx="6">
                  <c:v>154</c:v>
                </c:pt>
              </c:numCache>
            </c:numRef>
          </c:xVal>
          <c:yVal>
            <c:numRef>
              <c:f>Sheet1!$C$55:$C$61</c:f>
              <c:numCache>
                <c:formatCode>General</c:formatCode>
                <c:ptCount val="7"/>
                <c:pt idx="0">
                  <c:v>177</c:v>
                </c:pt>
                <c:pt idx="1">
                  <c:v>336.73</c:v>
                </c:pt>
                <c:pt idx="2">
                  <c:v>351</c:v>
                </c:pt>
                <c:pt idx="3">
                  <c:v>467</c:v>
                </c:pt>
                <c:pt idx="4">
                  <c:v>500</c:v>
                </c:pt>
                <c:pt idx="5">
                  <c:v>595</c:v>
                </c:pt>
                <c:pt idx="6">
                  <c:v>482.73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11-4CFC-9A66-9E703B87B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5171615"/>
        <c:axId val="1255170367"/>
      </c:scatterChart>
      <c:valAx>
        <c:axId val="12551716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55170367"/>
        <c:crosses val="autoZero"/>
        <c:crossBetween val="midCat"/>
      </c:valAx>
      <c:valAx>
        <c:axId val="1255170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551716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荆棘舞法伤公式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6.668483265367485E-2"/>
          <c:y val="0.17113444152814231"/>
          <c:w val="0.90777817450622966"/>
          <c:h val="0.7122069116360455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Sheet3!$B$3:$B$6</c:f>
              <c:numCache>
                <c:formatCode>General</c:formatCode>
                <c:ptCount val="4"/>
                <c:pt idx="0">
                  <c:v>39</c:v>
                </c:pt>
                <c:pt idx="1">
                  <c:v>79</c:v>
                </c:pt>
                <c:pt idx="2">
                  <c:v>150</c:v>
                </c:pt>
              </c:numCache>
            </c:numRef>
          </c:xVal>
          <c:yVal>
            <c:numRef>
              <c:f>Sheet3!$I$3:$I$6</c:f>
              <c:numCache>
                <c:formatCode>General</c:formatCode>
                <c:ptCount val="4"/>
                <c:pt idx="0">
                  <c:v>127</c:v>
                </c:pt>
                <c:pt idx="1">
                  <c:v>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3B-498C-9B00-FE1560024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797792"/>
        <c:axId val="825796960"/>
      </c:scatterChart>
      <c:valAx>
        <c:axId val="82579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25796960"/>
        <c:crosses val="autoZero"/>
        <c:crossBetween val="midCat"/>
      </c:valAx>
      <c:valAx>
        <c:axId val="82579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2579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落叶潇潇法伤公式</a:t>
            </a:r>
            <a:endParaRPr lang="en-US" altLang="zh-CN"/>
          </a:p>
        </c:rich>
      </c:tx>
      <c:layout>
        <c:manualLayout>
          <c:xMode val="edge"/>
          <c:yMode val="edge"/>
          <c:x val="0.3611111111111111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Sheet3!$B$3:$B$6</c:f>
              <c:numCache>
                <c:formatCode>General</c:formatCode>
                <c:ptCount val="4"/>
                <c:pt idx="0">
                  <c:v>39</c:v>
                </c:pt>
                <c:pt idx="1">
                  <c:v>79</c:v>
                </c:pt>
                <c:pt idx="2">
                  <c:v>150</c:v>
                </c:pt>
              </c:numCache>
            </c:numRef>
          </c:xVal>
          <c:yVal>
            <c:numRef>
              <c:f>Sheet3!$M$3:$M$6</c:f>
              <c:numCache>
                <c:formatCode>General</c:formatCode>
                <c:ptCount val="4"/>
                <c:pt idx="0">
                  <c:v>100</c:v>
                </c:pt>
                <c:pt idx="1">
                  <c:v>200</c:v>
                </c:pt>
                <c:pt idx="2">
                  <c:v>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90-499C-A652-CAFA422FC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122303"/>
        <c:axId val="648123135"/>
      </c:scatterChart>
      <c:valAx>
        <c:axId val="648122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8123135"/>
        <c:crosses val="autoZero"/>
        <c:crossBetween val="midCat"/>
      </c:valAx>
      <c:valAx>
        <c:axId val="648123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81223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548884514435697"/>
                  <c:y val="-0.4435955949370558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yVal>
            <c:numRef>
              <c:f>Sheet3!$G$77:$G$89</c:f>
              <c:numCache>
                <c:formatCode>General</c:formatCode>
                <c:ptCount val="13"/>
                <c:pt idx="0">
                  <c:v>17</c:v>
                </c:pt>
                <c:pt idx="1">
                  <c:v>-6</c:v>
                </c:pt>
                <c:pt idx="2">
                  <c:v>20</c:v>
                </c:pt>
                <c:pt idx="3">
                  <c:v>4</c:v>
                </c:pt>
                <c:pt idx="4">
                  <c:v>-5</c:v>
                </c:pt>
                <c:pt idx="5">
                  <c:v>-2</c:v>
                </c:pt>
                <c:pt idx="6">
                  <c:v>0</c:v>
                </c:pt>
                <c:pt idx="7">
                  <c:v>10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FD-4CFA-99DC-51AFB875D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3078224"/>
        <c:axId val="1533078640"/>
      </c:scatterChart>
      <c:valAx>
        <c:axId val="1533078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3078640"/>
        <c:crosses val="autoZero"/>
        <c:crossBetween val="midCat"/>
      </c:valAx>
      <c:valAx>
        <c:axId val="153307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3078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59</xdr:row>
      <xdr:rowOff>34290</xdr:rowOff>
    </xdr:from>
    <xdr:to>
      <xdr:col>13</xdr:col>
      <xdr:colOff>495300</xdr:colOff>
      <xdr:row>74</xdr:row>
      <xdr:rowOff>148590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7F2399C4-02D3-46C8-89AC-F10A889DD8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125730</xdr:rowOff>
    </xdr:from>
    <xdr:to>
      <xdr:col>10</xdr:col>
      <xdr:colOff>304800</xdr:colOff>
      <xdr:row>24</xdr:row>
      <xdr:rowOff>64770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CAB48E18-D592-4F17-A702-95767720E0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472440</xdr:colOff>
      <xdr:row>8</xdr:row>
      <xdr:rowOff>102870</xdr:rowOff>
    </xdr:from>
    <xdr:to>
      <xdr:col>19</xdr:col>
      <xdr:colOff>464820</xdr:colOff>
      <xdr:row>24</xdr:row>
      <xdr:rowOff>41910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B585F07-1522-4E93-9720-4FAC983E81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586740</xdr:colOff>
      <xdr:row>67</xdr:row>
      <xdr:rowOff>3810</xdr:rowOff>
    </xdr:from>
    <xdr:to>
      <xdr:col>15</xdr:col>
      <xdr:colOff>175260</xdr:colOff>
      <xdr:row>83</xdr:row>
      <xdr:rowOff>118110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A8996FBE-E16B-4CF2-BED4-3D1C0A415F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1"/>
  <sheetViews>
    <sheetView workbookViewId="0">
      <selection activeCell="I13" sqref="I13"/>
    </sheetView>
  </sheetViews>
  <sheetFormatPr defaultRowHeight="13.8" x14ac:dyDescent="0.25"/>
  <cols>
    <col min="1" max="1" width="10" customWidth="1"/>
    <col min="2" max="2" width="12.5546875" customWidth="1"/>
    <col min="3" max="3" width="9.21875" customWidth="1"/>
    <col min="4" max="4" width="11.5546875" customWidth="1"/>
    <col min="5" max="5" width="7.88671875" customWidth="1"/>
    <col min="6" max="6" width="13.21875" customWidth="1"/>
    <col min="7" max="7" width="15.77734375" customWidth="1"/>
    <col min="8" max="8" width="6.77734375" customWidth="1"/>
    <col min="9" max="9" width="10.5546875" customWidth="1"/>
    <col min="11" max="11" width="10.109375" customWidth="1"/>
    <col min="20" max="20" width="11.77734375" customWidth="1"/>
  </cols>
  <sheetData>
    <row r="1" spans="1:20" x14ac:dyDescent="0.25">
      <c r="A1" t="s">
        <v>0</v>
      </c>
    </row>
    <row r="2" spans="1:20" x14ac:dyDescent="0.25">
      <c r="A2" t="s">
        <v>1</v>
      </c>
    </row>
    <row r="3" spans="1:20" x14ac:dyDescent="0.25">
      <c r="A3" t="s">
        <v>2</v>
      </c>
    </row>
    <row r="4" spans="1:20" x14ac:dyDescent="0.25">
      <c r="A4" t="s">
        <v>3</v>
      </c>
    </row>
    <row r="6" spans="1:20" x14ac:dyDescent="0.25">
      <c r="A6" s="22" t="s">
        <v>75</v>
      </c>
      <c r="B6" s="22"/>
      <c r="C6" s="22"/>
      <c r="D6" s="22"/>
      <c r="E6" s="22"/>
      <c r="F6" s="22"/>
      <c r="G6" s="22"/>
    </row>
    <row r="7" spans="1:20" ht="15.6" customHeight="1" x14ac:dyDescent="0.25">
      <c r="B7" s="34" t="s">
        <v>24</v>
      </c>
      <c r="C7" s="34"/>
      <c r="D7" s="34"/>
      <c r="E7" s="34"/>
      <c r="F7" s="34"/>
      <c r="G7" s="34"/>
      <c r="H7" s="34"/>
      <c r="J7" s="34" t="s">
        <v>23</v>
      </c>
      <c r="K7" s="34"/>
      <c r="L7" s="34"/>
      <c r="M7" s="34"/>
      <c r="N7" s="5"/>
      <c r="P7" s="34" t="s">
        <v>24</v>
      </c>
      <c r="Q7" s="34"/>
    </row>
    <row r="8" spans="1:20" s="1" customFormat="1" ht="32.4" customHeight="1" x14ac:dyDescent="0.25">
      <c r="B8" s="1" t="s">
        <v>14</v>
      </c>
      <c r="C8" s="1" t="s">
        <v>15</v>
      </c>
      <c r="D8" s="1" t="s">
        <v>14</v>
      </c>
      <c r="E8" s="1" t="s">
        <v>13</v>
      </c>
      <c r="F8" s="1" t="s">
        <v>5</v>
      </c>
      <c r="G8" s="1" t="s">
        <v>10</v>
      </c>
      <c r="H8" s="1" t="s">
        <v>12</v>
      </c>
      <c r="I8" s="2" t="s">
        <v>17</v>
      </c>
      <c r="J8" s="1" t="s">
        <v>4</v>
      </c>
      <c r="K8" s="1" t="s">
        <v>11</v>
      </c>
      <c r="L8" s="1" t="s">
        <v>6</v>
      </c>
      <c r="M8" s="2" t="s">
        <v>16</v>
      </c>
      <c r="N8" s="2" t="s">
        <v>25</v>
      </c>
      <c r="O8" s="1" t="s">
        <v>18</v>
      </c>
      <c r="P8" s="1" t="s">
        <v>7</v>
      </c>
      <c r="Q8" s="1" t="s">
        <v>8</v>
      </c>
      <c r="R8" s="1" t="s">
        <v>9</v>
      </c>
      <c r="S8" s="1" t="s">
        <v>66</v>
      </c>
    </row>
    <row r="9" spans="1:20" x14ac:dyDescent="0.25">
      <c r="A9" s="4" t="s">
        <v>19</v>
      </c>
      <c r="B9">
        <v>6.8999999999999999E-3</v>
      </c>
      <c r="C9">
        <f>81*2</f>
        <v>162</v>
      </c>
      <c r="D9">
        <v>1.4116</v>
      </c>
      <c r="E9">
        <v>81</v>
      </c>
      <c r="F9">
        <v>1030</v>
      </c>
      <c r="G9">
        <v>300</v>
      </c>
      <c r="H9">
        <v>34</v>
      </c>
      <c r="I9" s="3">
        <f>B9*C9+D9*E9+F9-G9+H9</f>
        <v>879.45740000000001</v>
      </c>
      <c r="J9">
        <f>1-1*0.1</f>
        <v>0.9</v>
      </c>
      <c r="K9">
        <v>1.1399999999999999</v>
      </c>
      <c r="L9">
        <v>1.25</v>
      </c>
      <c r="M9">
        <v>1</v>
      </c>
      <c r="N9">
        <v>1</v>
      </c>
      <c r="O9" s="3">
        <f>I9*J9*K9*L9*M9*N9</f>
        <v>1127.9041155</v>
      </c>
      <c r="P9">
        <v>35</v>
      </c>
      <c r="Q9">
        <v>49</v>
      </c>
      <c r="R9" s="3">
        <f>ROUND(O9+P9+Q9,2)</f>
        <v>1211.9000000000001</v>
      </c>
    </row>
    <row r="10" spans="1:20" x14ac:dyDescent="0.25">
      <c r="A10" s="4" t="s">
        <v>20</v>
      </c>
      <c r="B10">
        <v>6.8999999999999999E-3</v>
      </c>
      <c r="C10">
        <f t="shared" ref="C10:C11" si="0">81*2</f>
        <v>162</v>
      </c>
      <c r="D10">
        <v>1.4116</v>
      </c>
      <c r="E10">
        <v>81</v>
      </c>
      <c r="F10">
        <v>1030</v>
      </c>
      <c r="G10">
        <v>300</v>
      </c>
      <c r="H10">
        <v>34</v>
      </c>
      <c r="I10" s="3">
        <f t="shared" ref="I10:I12" si="1">B10*C10+D10*E10+F10-G10+H10</f>
        <v>879.45740000000001</v>
      </c>
      <c r="J10">
        <f>1-2*0.1</f>
        <v>0.8</v>
      </c>
      <c r="K10">
        <v>1.1399999999999999</v>
      </c>
      <c r="L10">
        <v>1.25</v>
      </c>
      <c r="M10">
        <v>1</v>
      </c>
      <c r="N10">
        <v>1</v>
      </c>
      <c r="O10" s="3">
        <f t="shared" ref="O10:O12" si="2">I10*J10*K10*L10*M10*N10</f>
        <v>1002.5814359999999</v>
      </c>
      <c r="P10">
        <v>35</v>
      </c>
      <c r="Q10">
        <v>49</v>
      </c>
      <c r="R10" s="3">
        <f t="shared" ref="R10:R20" si="3">ROUND(O10+P10+Q10,2)</f>
        <v>1086.58</v>
      </c>
    </row>
    <row r="11" spans="1:20" x14ac:dyDescent="0.25">
      <c r="A11" s="4" t="s">
        <v>21</v>
      </c>
      <c r="B11">
        <v>6.8999999999999999E-3</v>
      </c>
      <c r="C11">
        <f t="shared" si="0"/>
        <v>162</v>
      </c>
      <c r="D11">
        <v>1.4116</v>
      </c>
      <c r="E11">
        <v>81</v>
      </c>
      <c r="F11">
        <v>1030</v>
      </c>
      <c r="G11">
        <v>300</v>
      </c>
      <c r="H11">
        <v>34</v>
      </c>
      <c r="I11" s="3">
        <f t="shared" si="1"/>
        <v>879.45740000000001</v>
      </c>
      <c r="J11">
        <f>1-3*0.1</f>
        <v>0.7</v>
      </c>
      <c r="K11">
        <v>1.1399999999999999</v>
      </c>
      <c r="L11">
        <v>1.25</v>
      </c>
      <c r="M11">
        <v>1</v>
      </c>
      <c r="N11">
        <v>1</v>
      </c>
      <c r="O11" s="3">
        <f t="shared" si="2"/>
        <v>877.25875649999989</v>
      </c>
      <c r="P11">
        <v>35</v>
      </c>
      <c r="Q11">
        <v>49</v>
      </c>
      <c r="R11" s="3">
        <f t="shared" si="3"/>
        <v>961.26</v>
      </c>
    </row>
    <row r="12" spans="1:20" x14ac:dyDescent="0.25">
      <c r="A12" s="4" t="s">
        <v>22</v>
      </c>
      <c r="B12" s="21">
        <v>6.8999999999999999E-3</v>
      </c>
      <c r="C12" s="21">
        <f>119*2</f>
        <v>238</v>
      </c>
      <c r="D12" s="21">
        <v>1.4116</v>
      </c>
      <c r="E12" s="21">
        <v>119</v>
      </c>
      <c r="F12" s="21">
        <v>1040</v>
      </c>
      <c r="G12" s="21">
        <v>1040</v>
      </c>
      <c r="H12" s="21">
        <v>34</v>
      </c>
      <c r="I12" s="21">
        <f t="shared" si="1"/>
        <v>203.62259999999992</v>
      </c>
      <c r="J12" s="21">
        <v>0.6</v>
      </c>
      <c r="K12" s="21">
        <v>1.1399999999999999</v>
      </c>
      <c r="L12" s="21">
        <v>1.25</v>
      </c>
      <c r="M12" s="21">
        <v>1</v>
      </c>
      <c r="N12" s="21">
        <v>1</v>
      </c>
      <c r="O12" s="21">
        <f t="shared" si="2"/>
        <v>174.0973229999999</v>
      </c>
      <c r="P12" s="21">
        <v>35</v>
      </c>
      <c r="Q12" s="21">
        <v>49</v>
      </c>
      <c r="R12" s="21">
        <f t="shared" si="3"/>
        <v>258.10000000000002</v>
      </c>
      <c r="S12" s="21">
        <v>934</v>
      </c>
      <c r="T12">
        <f>S12-R12</f>
        <v>675.9</v>
      </c>
    </row>
    <row r="13" spans="1:20" x14ac:dyDescent="0.25">
      <c r="A13" s="4"/>
      <c r="B13">
        <v>6.8999999999999999E-3</v>
      </c>
      <c r="C13">
        <f>123*2</f>
        <v>246</v>
      </c>
      <c r="D13">
        <v>1.4116</v>
      </c>
      <c r="E13">
        <v>123</v>
      </c>
      <c r="F13" s="21">
        <v>1040</v>
      </c>
      <c r="G13" s="21">
        <v>1040</v>
      </c>
      <c r="H13">
        <v>34</v>
      </c>
      <c r="I13" s="3">
        <f t="shared" ref="I13" si="4">B13*C13+D13*E13+F13-G13+H13</f>
        <v>209.32420000000002</v>
      </c>
      <c r="J13">
        <v>0.6</v>
      </c>
      <c r="K13">
        <v>1.1399999999999999</v>
      </c>
      <c r="L13">
        <v>1.25</v>
      </c>
      <c r="M13">
        <v>1</v>
      </c>
      <c r="N13">
        <v>1</v>
      </c>
      <c r="O13" s="3">
        <f t="shared" ref="O13" si="5">I13*J13*K13*L13*M13*N13</f>
        <v>178.97219099999998</v>
      </c>
      <c r="P13">
        <v>35</v>
      </c>
      <c r="Q13">
        <v>0</v>
      </c>
      <c r="R13" s="3">
        <f t="shared" ref="R13" si="6">ROUND(O13+P13+Q13,2)</f>
        <v>213.97</v>
      </c>
    </row>
    <row r="14" spans="1:20" x14ac:dyDescent="0.25">
      <c r="A14" t="s">
        <v>73</v>
      </c>
      <c r="I14" s="3">
        <f>I12-I13</f>
        <v>-5.7016000000000986</v>
      </c>
      <c r="O14" s="3"/>
      <c r="R14" s="3">
        <f>R12-R13</f>
        <v>44.130000000000024</v>
      </c>
    </row>
    <row r="15" spans="1:20" x14ac:dyDescent="0.25">
      <c r="A15" s="4" t="s">
        <v>60</v>
      </c>
      <c r="B15">
        <v>6.8999999999999999E-3</v>
      </c>
      <c r="C15">
        <f t="shared" ref="C15:C20" si="7">79*2</f>
        <v>158</v>
      </c>
      <c r="D15">
        <v>1.4116</v>
      </c>
      <c r="E15">
        <v>79</v>
      </c>
      <c r="F15">
        <v>1030</v>
      </c>
      <c r="G15">
        <v>300</v>
      </c>
      <c r="H15">
        <v>34</v>
      </c>
      <c r="I15" s="3">
        <f t="shared" ref="I15:I20" si="8">B15*C15+D15*E15+F15-G15+H15</f>
        <v>876.60660000000007</v>
      </c>
      <c r="J15">
        <f t="shared" ref="J15:J20" si="9">1-4*0.1</f>
        <v>0.6</v>
      </c>
      <c r="K15">
        <v>1.1599999999999999</v>
      </c>
      <c r="L15">
        <v>1.25</v>
      </c>
      <c r="M15">
        <v>1.1000000000000001</v>
      </c>
      <c r="N15">
        <v>1</v>
      </c>
      <c r="O15" s="3">
        <f t="shared" ref="O15:O20" si="10">I15*J15*K15*L15*M15*N15</f>
        <v>838.91251620000014</v>
      </c>
      <c r="P15">
        <v>40</v>
      </c>
      <c r="R15" s="3">
        <f t="shared" si="3"/>
        <v>878.91</v>
      </c>
    </row>
    <row r="16" spans="1:20" x14ac:dyDescent="0.25">
      <c r="A16" s="4" t="s">
        <v>61</v>
      </c>
      <c r="B16">
        <v>6.8999999999999999E-3</v>
      </c>
      <c r="C16">
        <f t="shared" si="7"/>
        <v>158</v>
      </c>
      <c r="D16">
        <v>1.4116</v>
      </c>
      <c r="E16">
        <v>79</v>
      </c>
      <c r="F16">
        <v>1060</v>
      </c>
      <c r="G16">
        <v>300</v>
      </c>
      <c r="H16">
        <v>34</v>
      </c>
      <c r="I16" s="3">
        <f t="shared" si="8"/>
        <v>906.60660000000007</v>
      </c>
      <c r="J16">
        <f t="shared" si="9"/>
        <v>0.6</v>
      </c>
      <c r="K16">
        <v>1.1599999999999999</v>
      </c>
      <c r="L16">
        <v>1.25</v>
      </c>
      <c r="M16">
        <v>1.1000000000000001</v>
      </c>
      <c r="N16">
        <v>1</v>
      </c>
      <c r="O16" s="3">
        <f t="shared" si="10"/>
        <v>867.62251620000006</v>
      </c>
      <c r="P16">
        <v>40</v>
      </c>
      <c r="R16" s="3">
        <f t="shared" si="3"/>
        <v>907.62</v>
      </c>
    </row>
    <row r="17" spans="1:19" x14ac:dyDescent="0.25">
      <c r="A17" s="4" t="s">
        <v>62</v>
      </c>
      <c r="B17">
        <v>6.8999999999999999E-3</v>
      </c>
      <c r="C17">
        <f t="shared" si="7"/>
        <v>158</v>
      </c>
      <c r="D17">
        <v>1.4116</v>
      </c>
      <c r="E17">
        <v>79</v>
      </c>
      <c r="F17">
        <v>1090</v>
      </c>
      <c r="G17">
        <v>300</v>
      </c>
      <c r="H17">
        <v>34</v>
      </c>
      <c r="I17" s="3">
        <f t="shared" si="8"/>
        <v>936.60660000000007</v>
      </c>
      <c r="J17">
        <f t="shared" si="9"/>
        <v>0.6</v>
      </c>
      <c r="K17">
        <v>1.1599999999999999</v>
      </c>
      <c r="L17">
        <v>1.25</v>
      </c>
      <c r="M17">
        <v>1.1000000000000001</v>
      </c>
      <c r="N17">
        <v>1</v>
      </c>
      <c r="O17" s="3">
        <f t="shared" si="10"/>
        <v>896.3325162000001</v>
      </c>
      <c r="P17">
        <v>40</v>
      </c>
      <c r="R17" s="3">
        <f t="shared" si="3"/>
        <v>936.33</v>
      </c>
      <c r="S17" s="21"/>
    </row>
    <row r="18" spans="1:19" x14ac:dyDescent="0.25">
      <c r="A18" s="4" t="s">
        <v>63</v>
      </c>
      <c r="B18">
        <v>6.8999999999999999E-3</v>
      </c>
      <c r="C18">
        <f t="shared" si="7"/>
        <v>158</v>
      </c>
      <c r="D18">
        <v>1.4116</v>
      </c>
      <c r="E18">
        <v>79</v>
      </c>
      <c r="F18">
        <v>1120</v>
      </c>
      <c r="G18">
        <v>300</v>
      </c>
      <c r="H18">
        <v>34</v>
      </c>
      <c r="I18" s="3">
        <f t="shared" si="8"/>
        <v>966.60660000000007</v>
      </c>
      <c r="J18">
        <f t="shared" si="9"/>
        <v>0.6</v>
      </c>
      <c r="K18">
        <v>1.1599999999999999</v>
      </c>
      <c r="L18">
        <v>1.25</v>
      </c>
      <c r="M18">
        <v>1.1000000000000001</v>
      </c>
      <c r="N18">
        <v>1</v>
      </c>
      <c r="O18" s="3">
        <f t="shared" si="10"/>
        <v>925.04251620000014</v>
      </c>
      <c r="P18">
        <v>40</v>
      </c>
      <c r="R18" s="3">
        <f t="shared" si="3"/>
        <v>965.04</v>
      </c>
    </row>
    <row r="19" spans="1:19" x14ac:dyDescent="0.25">
      <c r="A19" s="4" t="s">
        <v>64</v>
      </c>
      <c r="B19">
        <v>6.8999999999999999E-3</v>
      </c>
      <c r="C19">
        <f t="shared" si="7"/>
        <v>158</v>
      </c>
      <c r="D19">
        <v>1.4116</v>
      </c>
      <c r="E19">
        <v>79</v>
      </c>
      <c r="F19">
        <v>1150</v>
      </c>
      <c r="G19">
        <v>300</v>
      </c>
      <c r="H19">
        <v>34</v>
      </c>
      <c r="I19" s="3">
        <f t="shared" si="8"/>
        <v>996.60660000000007</v>
      </c>
      <c r="J19">
        <f t="shared" si="9"/>
        <v>0.6</v>
      </c>
      <c r="K19">
        <v>1.1599999999999999</v>
      </c>
      <c r="L19">
        <v>1.25</v>
      </c>
      <c r="M19">
        <v>1.1000000000000001</v>
      </c>
      <c r="N19">
        <v>1</v>
      </c>
      <c r="O19" s="3">
        <f t="shared" si="10"/>
        <v>953.75251620000006</v>
      </c>
      <c r="P19">
        <v>40</v>
      </c>
      <c r="R19" s="3">
        <f t="shared" si="3"/>
        <v>993.75</v>
      </c>
    </row>
    <row r="20" spans="1:19" x14ac:dyDescent="0.25">
      <c r="A20" s="4" t="s">
        <v>65</v>
      </c>
      <c r="B20">
        <v>6.8999999999999999E-3</v>
      </c>
      <c r="C20">
        <f t="shared" si="7"/>
        <v>158</v>
      </c>
      <c r="D20">
        <v>1.4116</v>
      </c>
      <c r="E20">
        <v>79</v>
      </c>
      <c r="F20">
        <v>1180</v>
      </c>
      <c r="G20">
        <v>300</v>
      </c>
      <c r="H20">
        <v>34</v>
      </c>
      <c r="I20" s="3">
        <f t="shared" si="8"/>
        <v>1026.6066000000001</v>
      </c>
      <c r="J20">
        <f t="shared" si="9"/>
        <v>0.6</v>
      </c>
      <c r="K20">
        <v>1.1599999999999999</v>
      </c>
      <c r="L20">
        <v>1.25</v>
      </c>
      <c r="M20">
        <v>1.1000000000000001</v>
      </c>
      <c r="N20">
        <v>1</v>
      </c>
      <c r="O20" s="3">
        <f t="shared" si="10"/>
        <v>982.4625162000001</v>
      </c>
      <c r="P20">
        <v>40</v>
      </c>
      <c r="R20" s="3">
        <f t="shared" si="3"/>
        <v>1022.46</v>
      </c>
    </row>
    <row r="22" spans="1:19" x14ac:dyDescent="0.25">
      <c r="A22" s="4" t="s">
        <v>67</v>
      </c>
      <c r="B22">
        <v>6.8999999999999999E-3</v>
      </c>
      <c r="C22">
        <f t="shared" ref="C22:C30" si="11">79*2</f>
        <v>158</v>
      </c>
      <c r="D22">
        <v>1.4116</v>
      </c>
      <c r="E22">
        <v>79</v>
      </c>
      <c r="F22">
        <v>1000</v>
      </c>
      <c r="G22">
        <v>300</v>
      </c>
      <c r="H22">
        <v>34</v>
      </c>
      <c r="I22" s="3">
        <f t="shared" ref="I22:I27" si="12">B22*C22+D22*E22+F22-G22+H22</f>
        <v>846.60660000000007</v>
      </c>
      <c r="J22">
        <f t="shared" ref="J22:J30" si="13">1-4*0.1</f>
        <v>0.6</v>
      </c>
      <c r="K22">
        <v>1.1599999999999999</v>
      </c>
      <c r="L22">
        <v>1.25</v>
      </c>
      <c r="M22">
        <v>1.1000000000000001</v>
      </c>
      <c r="N22">
        <v>1</v>
      </c>
      <c r="O22" s="3">
        <f t="shared" ref="O22:O27" si="14">I22*J22*K22*L22*M22*N22</f>
        <v>810.2025162000001</v>
      </c>
      <c r="P22">
        <v>40</v>
      </c>
      <c r="Q22">
        <v>24</v>
      </c>
      <c r="R22" s="3">
        <f t="shared" ref="R22:R27" si="15">ROUND(O22+P22+Q22,2)</f>
        <v>874.2</v>
      </c>
    </row>
    <row r="23" spans="1:19" x14ac:dyDescent="0.25">
      <c r="A23" s="4" t="s">
        <v>68</v>
      </c>
      <c r="B23">
        <v>6.8999999999999999E-3</v>
      </c>
      <c r="C23">
        <f t="shared" si="11"/>
        <v>158</v>
      </c>
      <c r="D23">
        <v>1.4116</v>
      </c>
      <c r="E23">
        <v>79</v>
      </c>
      <c r="F23">
        <v>1000</v>
      </c>
      <c r="G23">
        <v>300</v>
      </c>
      <c r="H23">
        <v>34</v>
      </c>
      <c r="I23" s="3">
        <f t="shared" si="12"/>
        <v>846.60660000000007</v>
      </c>
      <c r="J23">
        <f t="shared" si="13"/>
        <v>0.6</v>
      </c>
      <c r="K23">
        <v>1.1599999999999999</v>
      </c>
      <c r="L23">
        <v>1.25</v>
      </c>
      <c r="M23">
        <v>1.1000000000000001</v>
      </c>
      <c r="N23">
        <v>1</v>
      </c>
      <c r="O23" s="3">
        <f t="shared" si="14"/>
        <v>810.2025162000001</v>
      </c>
      <c r="P23">
        <v>40</v>
      </c>
      <c r="Q23">
        <v>48</v>
      </c>
      <c r="R23" s="3">
        <f t="shared" si="15"/>
        <v>898.2</v>
      </c>
    </row>
    <row r="24" spans="1:19" x14ac:dyDescent="0.25">
      <c r="A24" s="4" t="s">
        <v>69</v>
      </c>
      <c r="B24">
        <v>6.8999999999999999E-3</v>
      </c>
      <c r="C24">
        <f t="shared" si="11"/>
        <v>158</v>
      </c>
      <c r="D24">
        <v>1.4116</v>
      </c>
      <c r="E24">
        <v>79</v>
      </c>
      <c r="F24">
        <v>1000</v>
      </c>
      <c r="G24">
        <v>300</v>
      </c>
      <c r="H24">
        <v>34</v>
      </c>
      <c r="I24" s="3">
        <f t="shared" si="12"/>
        <v>846.60660000000007</v>
      </c>
      <c r="J24">
        <f t="shared" si="13"/>
        <v>0.6</v>
      </c>
      <c r="K24">
        <v>1.1599999999999999</v>
      </c>
      <c r="L24">
        <v>1.25</v>
      </c>
      <c r="M24">
        <v>1.1000000000000001</v>
      </c>
      <c r="N24">
        <v>1</v>
      </c>
      <c r="O24" s="3">
        <f t="shared" si="14"/>
        <v>810.2025162000001</v>
      </c>
      <c r="P24">
        <v>40</v>
      </c>
      <c r="Q24">
        <f>Q22*3</f>
        <v>72</v>
      </c>
      <c r="R24" s="3">
        <f t="shared" si="15"/>
        <v>922.2</v>
      </c>
      <c r="S24" s="21"/>
    </row>
    <row r="25" spans="1:19" x14ac:dyDescent="0.25">
      <c r="A25" s="4" t="s">
        <v>70</v>
      </c>
      <c r="B25">
        <v>6.8999999999999999E-3</v>
      </c>
      <c r="C25">
        <f t="shared" si="11"/>
        <v>158</v>
      </c>
      <c r="D25">
        <v>1.4116</v>
      </c>
      <c r="E25">
        <v>79</v>
      </c>
      <c r="F25">
        <v>1000</v>
      </c>
      <c r="G25">
        <v>300</v>
      </c>
      <c r="H25">
        <v>34</v>
      </c>
      <c r="I25" s="3">
        <f t="shared" si="12"/>
        <v>846.60660000000007</v>
      </c>
      <c r="J25">
        <f t="shared" si="13"/>
        <v>0.6</v>
      </c>
      <c r="K25">
        <v>1.1599999999999999</v>
      </c>
      <c r="L25">
        <v>1.25</v>
      </c>
      <c r="M25">
        <v>1.1000000000000001</v>
      </c>
      <c r="N25">
        <v>1</v>
      </c>
      <c r="O25" s="3">
        <f t="shared" si="14"/>
        <v>810.2025162000001</v>
      </c>
      <c r="P25">
        <v>40</v>
      </c>
      <c r="Q25">
        <f>Q22*4</f>
        <v>96</v>
      </c>
      <c r="R25" s="3">
        <f t="shared" si="15"/>
        <v>946.2</v>
      </c>
    </row>
    <row r="26" spans="1:19" x14ac:dyDescent="0.25">
      <c r="A26" s="4" t="s">
        <v>71</v>
      </c>
      <c r="B26">
        <v>6.8999999999999999E-3</v>
      </c>
      <c r="C26">
        <f t="shared" si="11"/>
        <v>158</v>
      </c>
      <c r="D26">
        <v>1.4116</v>
      </c>
      <c r="E26">
        <v>79</v>
      </c>
      <c r="F26">
        <v>1000</v>
      </c>
      <c r="G26">
        <v>300</v>
      </c>
      <c r="H26">
        <v>34</v>
      </c>
      <c r="I26" s="3">
        <f t="shared" si="12"/>
        <v>846.60660000000007</v>
      </c>
      <c r="J26">
        <f t="shared" si="13"/>
        <v>0.6</v>
      </c>
      <c r="K26">
        <v>1.1599999999999999</v>
      </c>
      <c r="L26">
        <v>1.25</v>
      </c>
      <c r="M26">
        <v>1.1000000000000001</v>
      </c>
      <c r="N26">
        <v>1</v>
      </c>
      <c r="O26" s="3">
        <f t="shared" si="14"/>
        <v>810.2025162000001</v>
      </c>
      <c r="P26">
        <v>40</v>
      </c>
      <c r="Q26">
        <f>Q22*5</f>
        <v>120</v>
      </c>
      <c r="R26" s="3">
        <f t="shared" si="15"/>
        <v>970.2</v>
      </c>
    </row>
    <row r="27" spans="1:19" x14ac:dyDescent="0.25">
      <c r="A27" s="4" t="s">
        <v>72</v>
      </c>
      <c r="B27">
        <v>6.8999999999999999E-3</v>
      </c>
      <c r="C27">
        <f t="shared" si="11"/>
        <v>158</v>
      </c>
      <c r="D27">
        <v>1.4116</v>
      </c>
      <c r="E27">
        <v>79</v>
      </c>
      <c r="F27">
        <v>1000</v>
      </c>
      <c r="G27">
        <v>300</v>
      </c>
      <c r="H27">
        <v>34</v>
      </c>
      <c r="I27" s="3">
        <f t="shared" si="12"/>
        <v>846.60660000000007</v>
      </c>
      <c r="J27">
        <f t="shared" si="13"/>
        <v>0.6</v>
      </c>
      <c r="K27">
        <v>1.1599999999999999</v>
      </c>
      <c r="L27">
        <v>1.25</v>
      </c>
      <c r="M27">
        <v>1.1000000000000001</v>
      </c>
      <c r="N27">
        <v>1</v>
      </c>
      <c r="O27" s="3">
        <f t="shared" si="14"/>
        <v>810.2025162000001</v>
      </c>
      <c r="P27">
        <v>40</v>
      </c>
      <c r="Q27">
        <f>Q22*6</f>
        <v>144</v>
      </c>
      <c r="R27" s="3">
        <f t="shared" si="15"/>
        <v>994.2</v>
      </c>
    </row>
    <row r="29" spans="1:19" x14ac:dyDescent="0.25">
      <c r="A29" s="4" t="s">
        <v>76</v>
      </c>
      <c r="B29">
        <v>6.8999999999999999E-3</v>
      </c>
      <c r="C29">
        <f t="shared" si="11"/>
        <v>158</v>
      </c>
      <c r="D29">
        <v>1.4116</v>
      </c>
      <c r="E29">
        <v>79</v>
      </c>
      <c r="F29">
        <v>1001</v>
      </c>
      <c r="G29">
        <v>300</v>
      </c>
      <c r="H29">
        <v>34</v>
      </c>
      <c r="I29" s="3">
        <f t="shared" ref="I29:I30" si="16">B29*C29+D29*E29+F29-G29+H29</f>
        <v>847.60660000000007</v>
      </c>
      <c r="J29">
        <f t="shared" si="13"/>
        <v>0.6</v>
      </c>
      <c r="K29">
        <v>1.1599999999999999</v>
      </c>
      <c r="L29">
        <v>1.25</v>
      </c>
      <c r="M29">
        <v>1.1000000000000001</v>
      </c>
      <c r="N29">
        <v>1</v>
      </c>
      <c r="O29" s="3">
        <f t="shared" ref="O29:O30" si="17">I29*J29*K29*L29*M29*N29</f>
        <v>811.15951619999998</v>
      </c>
      <c r="P29">
        <v>40</v>
      </c>
      <c r="R29" s="3">
        <f t="shared" ref="R29:R30" si="18">ROUND(O29+P29+Q29,2)</f>
        <v>851.16</v>
      </c>
    </row>
    <row r="30" spans="1:19" x14ac:dyDescent="0.25">
      <c r="A30" s="4" t="s">
        <v>77</v>
      </c>
      <c r="B30">
        <v>6.8999999999999999E-3</v>
      </c>
      <c r="C30">
        <f t="shared" si="11"/>
        <v>158</v>
      </c>
      <c r="D30">
        <v>1.4116</v>
      </c>
      <c r="E30">
        <v>79</v>
      </c>
      <c r="F30">
        <v>1000</v>
      </c>
      <c r="G30">
        <v>300</v>
      </c>
      <c r="H30">
        <v>34</v>
      </c>
      <c r="I30" s="3">
        <f t="shared" si="16"/>
        <v>846.60660000000007</v>
      </c>
      <c r="J30">
        <f t="shared" si="13"/>
        <v>0.6</v>
      </c>
      <c r="K30">
        <v>1.1599999999999999</v>
      </c>
      <c r="L30">
        <v>1.25</v>
      </c>
      <c r="M30">
        <v>1.1000000000000001</v>
      </c>
      <c r="N30">
        <v>1</v>
      </c>
      <c r="O30" s="3">
        <f t="shared" si="17"/>
        <v>810.2025162000001</v>
      </c>
      <c r="P30">
        <v>40</v>
      </c>
      <c r="Q30">
        <v>1</v>
      </c>
      <c r="R30" s="3">
        <f t="shared" si="18"/>
        <v>851.2</v>
      </c>
    </row>
    <row r="31" spans="1:19" ht="15" customHeight="1" x14ac:dyDescent="0.25"/>
    <row r="32" spans="1:19" ht="15" customHeight="1" x14ac:dyDescent="0.25">
      <c r="A32" s="23" t="s">
        <v>74</v>
      </c>
    </row>
    <row r="33" spans="1:18" ht="15" customHeight="1" x14ac:dyDescent="0.25">
      <c r="A33" s="4" t="s">
        <v>76</v>
      </c>
      <c r="B33">
        <v>6.8999999999999999E-3</v>
      </c>
      <c r="C33">
        <f t="shared" ref="C33:C37" si="19">79*2</f>
        <v>158</v>
      </c>
      <c r="D33">
        <v>1.4116</v>
      </c>
      <c r="E33">
        <v>79</v>
      </c>
      <c r="F33">
        <v>1001</v>
      </c>
      <c r="G33">
        <v>300</v>
      </c>
      <c r="H33">
        <v>34</v>
      </c>
      <c r="I33" s="3">
        <f>(B33*C33+D33*E33+F33-G33+H33)*2</f>
        <v>1695.2132000000001</v>
      </c>
      <c r="J33">
        <f t="shared" ref="J33:J37" si="20">1-4*0.1</f>
        <v>0.6</v>
      </c>
      <c r="K33">
        <v>1.1599999999999999</v>
      </c>
      <c r="L33">
        <v>1.25</v>
      </c>
      <c r="M33">
        <v>1.1000000000000001</v>
      </c>
      <c r="N33">
        <v>1</v>
      </c>
      <c r="O33" s="3">
        <f t="shared" ref="O33:O34" si="21">I33*J33*K33*L33*M33*N33</f>
        <v>1622.3190324</v>
      </c>
      <c r="P33">
        <v>40</v>
      </c>
      <c r="R33" s="3">
        <f t="shared" ref="R33:R34" si="22">ROUND(O33+P33+Q33,2)</f>
        <v>1662.32</v>
      </c>
    </row>
    <row r="34" spans="1:18" ht="15" customHeight="1" x14ac:dyDescent="0.25">
      <c r="A34" s="4" t="s">
        <v>77</v>
      </c>
      <c r="B34">
        <v>6.8999999999999999E-3</v>
      </c>
      <c r="C34">
        <f t="shared" si="19"/>
        <v>158</v>
      </c>
      <c r="D34">
        <v>1.4116</v>
      </c>
      <c r="E34">
        <v>79</v>
      </c>
      <c r="F34">
        <v>1000</v>
      </c>
      <c r="G34">
        <v>300</v>
      </c>
      <c r="H34">
        <v>34</v>
      </c>
      <c r="I34" s="3">
        <f>(B34*C34+D34*E34+F34-G34+H34)*2</f>
        <v>1693.2132000000001</v>
      </c>
      <c r="J34">
        <f t="shared" si="20"/>
        <v>0.6</v>
      </c>
      <c r="K34">
        <v>1.1599999999999999</v>
      </c>
      <c r="L34">
        <v>1.25</v>
      </c>
      <c r="M34">
        <v>1.1000000000000001</v>
      </c>
      <c r="N34">
        <v>1</v>
      </c>
      <c r="O34" s="3">
        <f t="shared" si="21"/>
        <v>1620.4050324000002</v>
      </c>
      <c r="P34">
        <v>40</v>
      </c>
      <c r="Q34">
        <v>1</v>
      </c>
      <c r="R34" s="3">
        <f t="shared" si="22"/>
        <v>1661.41</v>
      </c>
    </row>
    <row r="35" spans="1:18" ht="15" customHeight="1" x14ac:dyDescent="0.25"/>
    <row r="36" spans="1:18" ht="15" customHeight="1" x14ac:dyDescent="0.25">
      <c r="A36" s="4" t="s">
        <v>78</v>
      </c>
      <c r="B36">
        <v>6.8999999999999999E-3</v>
      </c>
      <c r="C36">
        <f t="shared" si="19"/>
        <v>158</v>
      </c>
      <c r="D36">
        <v>1.4116</v>
      </c>
      <c r="E36">
        <v>79</v>
      </c>
      <c r="F36">
        <v>1100</v>
      </c>
      <c r="G36">
        <v>300</v>
      </c>
      <c r="H36">
        <v>34</v>
      </c>
      <c r="I36" s="3">
        <f>(B36*C36+D36*E36+F36-G36+H36)*2</f>
        <v>1893.2132000000001</v>
      </c>
      <c r="J36">
        <f t="shared" si="20"/>
        <v>0.6</v>
      </c>
      <c r="K36">
        <v>1.1599999999999999</v>
      </c>
      <c r="L36">
        <v>1.25</v>
      </c>
      <c r="M36">
        <v>1.1000000000000001</v>
      </c>
      <c r="N36">
        <v>1</v>
      </c>
      <c r="O36" s="3">
        <f t="shared" ref="O36:O37" si="23">I36*J36*K36*L36*M36*N36</f>
        <v>1811.8050324000001</v>
      </c>
      <c r="P36">
        <v>40</v>
      </c>
      <c r="R36" s="3">
        <f t="shared" ref="R36:R37" si="24">ROUND(O36+P36+Q36,2)</f>
        <v>1851.81</v>
      </c>
    </row>
    <row r="37" spans="1:18" ht="15" customHeight="1" x14ac:dyDescent="0.25">
      <c r="A37" s="4" t="s">
        <v>79</v>
      </c>
      <c r="B37">
        <v>6.8999999999999999E-3</v>
      </c>
      <c r="C37">
        <f t="shared" si="19"/>
        <v>158</v>
      </c>
      <c r="D37">
        <v>1.4116</v>
      </c>
      <c r="E37">
        <v>79</v>
      </c>
      <c r="F37">
        <v>1000</v>
      </c>
      <c r="G37">
        <v>300</v>
      </c>
      <c r="H37">
        <v>34</v>
      </c>
      <c r="I37" s="3">
        <f>(B37*C37+D37*E37+F37-G37+H37)*2</f>
        <v>1693.2132000000001</v>
      </c>
      <c r="J37">
        <f t="shared" si="20"/>
        <v>0.6</v>
      </c>
      <c r="K37">
        <v>1.1599999999999999</v>
      </c>
      <c r="L37">
        <v>1.25</v>
      </c>
      <c r="M37">
        <v>1.1000000000000001</v>
      </c>
      <c r="N37">
        <v>1</v>
      </c>
      <c r="O37" s="3">
        <f t="shared" si="23"/>
        <v>1620.4050324000002</v>
      </c>
      <c r="P37">
        <v>40</v>
      </c>
      <c r="Q37">
        <v>100</v>
      </c>
      <c r="R37" s="3">
        <f t="shared" si="24"/>
        <v>1760.41</v>
      </c>
    </row>
    <row r="38" spans="1:18" ht="15" customHeight="1" x14ac:dyDescent="0.25"/>
    <row r="39" spans="1:18" ht="15" customHeight="1" x14ac:dyDescent="0.25"/>
    <row r="40" spans="1:18" ht="15" customHeight="1" x14ac:dyDescent="0.25">
      <c r="A40" t="s">
        <v>80</v>
      </c>
    </row>
    <row r="41" spans="1:18" ht="15" customHeight="1" x14ac:dyDescent="0.25">
      <c r="A41" t="s">
        <v>81</v>
      </c>
    </row>
    <row r="42" spans="1:18" ht="15" customHeight="1" x14ac:dyDescent="0.25">
      <c r="B42" t="s">
        <v>85</v>
      </c>
      <c r="C42" t="s">
        <v>86</v>
      </c>
      <c r="D42" t="s">
        <v>87</v>
      </c>
      <c r="E42" t="s">
        <v>88</v>
      </c>
      <c r="F42" t="s">
        <v>89</v>
      </c>
      <c r="G42" t="s">
        <v>90</v>
      </c>
      <c r="H42" t="s">
        <v>4</v>
      </c>
      <c r="I42" t="s">
        <v>91</v>
      </c>
      <c r="J42" t="s">
        <v>92</v>
      </c>
      <c r="K42" t="s">
        <v>93</v>
      </c>
      <c r="L42" t="s">
        <v>7</v>
      </c>
      <c r="M42" t="s">
        <v>8</v>
      </c>
      <c r="N42" t="s">
        <v>95</v>
      </c>
      <c r="O42" t="s">
        <v>94</v>
      </c>
    </row>
    <row r="43" spans="1:18" x14ac:dyDescent="0.25">
      <c r="A43" t="s">
        <v>19</v>
      </c>
      <c r="B43">
        <f>79*79/400+79/2</f>
        <v>55.102499999999999</v>
      </c>
      <c r="C43">
        <f>120*120/150+120</f>
        <v>216</v>
      </c>
      <c r="D43">
        <v>70</v>
      </c>
      <c r="E43">
        <f>650*0.5</f>
        <v>325</v>
      </c>
      <c r="F43">
        <f>120*0.83</f>
        <v>99.6</v>
      </c>
      <c r="G43">
        <f>B43+C43+D43+E43+F43</f>
        <v>765.70249999999999</v>
      </c>
      <c r="H43">
        <v>1</v>
      </c>
      <c r="I43">
        <v>1.25</v>
      </c>
      <c r="J43">
        <v>1.18</v>
      </c>
      <c r="K43">
        <f>G43*H43*I43*J43</f>
        <v>1129.4111874999999</v>
      </c>
      <c r="L43">
        <v>40</v>
      </c>
      <c r="M43">
        <v>45</v>
      </c>
      <c r="N43">
        <v>31</v>
      </c>
      <c r="O43">
        <f>K43+L43+M43+N43</f>
        <v>1245.4111874999999</v>
      </c>
    </row>
    <row r="44" spans="1:18" x14ac:dyDescent="0.25">
      <c r="A44" t="s">
        <v>82</v>
      </c>
      <c r="B44">
        <f t="shared" ref="B44:B46" si="25">79*79/400+79/2</f>
        <v>55.102499999999999</v>
      </c>
      <c r="C44">
        <f t="shared" ref="C44:C45" si="26">120*120/150+120</f>
        <v>216</v>
      </c>
      <c r="D44">
        <v>70</v>
      </c>
      <c r="E44">
        <f t="shared" ref="E44:E46" si="27">650*0.5</f>
        <v>325</v>
      </c>
      <c r="F44">
        <f t="shared" ref="F44:F46" si="28">120*0.83</f>
        <v>99.6</v>
      </c>
      <c r="G44">
        <f t="shared" ref="G44:G46" si="29">B44+C44+D44+E44+F44</f>
        <v>765.70249999999999</v>
      </c>
      <c r="H44">
        <v>0.9</v>
      </c>
      <c r="I44">
        <v>1.25</v>
      </c>
      <c r="J44">
        <v>1.18</v>
      </c>
      <c r="K44">
        <f t="shared" ref="K44:K46" si="30">G44*H44*I44*J44</f>
        <v>1016.47006875</v>
      </c>
      <c r="L44">
        <v>40</v>
      </c>
      <c r="M44">
        <v>45</v>
      </c>
      <c r="N44">
        <v>31</v>
      </c>
      <c r="O44">
        <f t="shared" ref="O44:O46" si="31">K44+L44+M44+N44</f>
        <v>1132.4700687499999</v>
      </c>
    </row>
    <row r="45" spans="1:18" x14ac:dyDescent="0.25">
      <c r="A45" t="s">
        <v>83</v>
      </c>
      <c r="B45">
        <f t="shared" si="25"/>
        <v>55.102499999999999</v>
      </c>
      <c r="C45">
        <f t="shared" si="26"/>
        <v>216</v>
      </c>
      <c r="D45">
        <v>70</v>
      </c>
      <c r="E45">
        <f t="shared" si="27"/>
        <v>325</v>
      </c>
      <c r="F45">
        <f t="shared" si="28"/>
        <v>99.6</v>
      </c>
      <c r="G45">
        <f t="shared" si="29"/>
        <v>765.70249999999999</v>
      </c>
      <c r="H45">
        <v>0.8</v>
      </c>
      <c r="I45">
        <v>1.25</v>
      </c>
      <c r="J45">
        <v>1.18</v>
      </c>
      <c r="K45">
        <f t="shared" si="30"/>
        <v>903.5289499999999</v>
      </c>
      <c r="L45">
        <v>40</v>
      </c>
      <c r="M45">
        <v>45</v>
      </c>
      <c r="N45">
        <v>31</v>
      </c>
      <c r="O45">
        <f t="shared" si="31"/>
        <v>1019.5289499999999</v>
      </c>
    </row>
    <row r="46" spans="1:18" x14ac:dyDescent="0.25">
      <c r="A46" t="s">
        <v>84</v>
      </c>
      <c r="B46">
        <f t="shared" si="25"/>
        <v>55.102499999999999</v>
      </c>
      <c r="C46">
        <f>120*120/150+120</f>
        <v>216</v>
      </c>
      <c r="D46">
        <v>70</v>
      </c>
      <c r="E46">
        <f t="shared" si="27"/>
        <v>325</v>
      </c>
      <c r="F46">
        <f t="shared" si="28"/>
        <v>99.6</v>
      </c>
      <c r="G46">
        <f t="shared" si="29"/>
        <v>765.70249999999999</v>
      </c>
      <c r="H46">
        <v>0.7</v>
      </c>
      <c r="I46">
        <v>1.25</v>
      </c>
      <c r="J46">
        <v>1.18</v>
      </c>
      <c r="K46">
        <f t="shared" si="30"/>
        <v>790.58783124999991</v>
      </c>
      <c r="L46">
        <v>40</v>
      </c>
      <c r="M46">
        <v>45</v>
      </c>
      <c r="N46">
        <v>31</v>
      </c>
      <c r="O46">
        <f t="shared" si="31"/>
        <v>906.58783124999991</v>
      </c>
    </row>
    <row r="51" spans="1:3" ht="15" customHeight="1" x14ac:dyDescent="0.25"/>
    <row r="53" spans="1:3" x14ac:dyDescent="0.25">
      <c r="A53" t="s">
        <v>130</v>
      </c>
    </row>
    <row r="54" spans="1:3" x14ac:dyDescent="0.25">
      <c r="A54" t="s">
        <v>57</v>
      </c>
      <c r="B54" t="s">
        <v>58</v>
      </c>
      <c r="C54" t="s">
        <v>59</v>
      </c>
    </row>
    <row r="55" spans="1:3" x14ac:dyDescent="0.25">
      <c r="B55">
        <v>61</v>
      </c>
      <c r="C55">
        <v>177</v>
      </c>
    </row>
    <row r="56" spans="1:3" x14ac:dyDescent="0.25">
      <c r="B56">
        <v>115</v>
      </c>
      <c r="C56">
        <v>336.73</v>
      </c>
    </row>
    <row r="57" spans="1:3" x14ac:dyDescent="0.25">
      <c r="B57">
        <v>119</v>
      </c>
      <c r="C57">
        <v>351</v>
      </c>
    </row>
    <row r="58" spans="1:3" ht="15" customHeight="1" x14ac:dyDescent="0.25">
      <c r="B58">
        <v>150</v>
      </c>
      <c r="C58">
        <v>467</v>
      </c>
    </row>
    <row r="59" spans="1:3" x14ac:dyDescent="0.25">
      <c r="B59">
        <v>158</v>
      </c>
      <c r="C59">
        <v>500</v>
      </c>
    </row>
    <row r="60" spans="1:3" x14ac:dyDescent="0.25">
      <c r="B60">
        <v>180</v>
      </c>
      <c r="C60">
        <v>595</v>
      </c>
    </row>
    <row r="61" spans="1:3" x14ac:dyDescent="0.25">
      <c r="B61">
        <v>154</v>
      </c>
      <c r="C61">
        <v>482.73</v>
      </c>
    </row>
  </sheetData>
  <mergeCells count="3">
    <mergeCell ref="J7:M7"/>
    <mergeCell ref="P7:Q7"/>
    <mergeCell ref="B7:H7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3B829-8B96-4A9B-8B7A-8A0DA1745BC4}">
  <dimension ref="A1:H32"/>
  <sheetViews>
    <sheetView topLeftCell="B7" workbookViewId="0">
      <selection activeCell="J10" sqref="J10"/>
    </sheetView>
  </sheetViews>
  <sheetFormatPr defaultRowHeight="13.8" x14ac:dyDescent="0.25"/>
  <cols>
    <col min="1" max="1" width="4.21875" customWidth="1"/>
    <col min="2" max="2" width="44.21875" customWidth="1"/>
    <col min="3" max="3" width="12.21875" customWidth="1"/>
    <col min="4" max="4" width="14.44140625" customWidth="1"/>
    <col min="5" max="5" width="16.6640625" customWidth="1"/>
    <col min="6" max="6" width="16" customWidth="1"/>
    <col min="7" max="7" width="14.88671875" customWidth="1"/>
  </cols>
  <sheetData>
    <row r="1" spans="1:8" ht="21" customHeight="1" x14ac:dyDescent="0.25">
      <c r="B1" s="8" t="s">
        <v>37</v>
      </c>
    </row>
    <row r="2" spans="1:8" ht="34.799999999999997" customHeight="1" x14ac:dyDescent="0.25">
      <c r="B2" s="37" t="s">
        <v>48</v>
      </c>
      <c r="C2" s="37"/>
      <c r="D2" s="37"/>
      <c r="E2" s="37"/>
      <c r="F2" s="37"/>
      <c r="G2" s="37"/>
    </row>
    <row r="3" spans="1:8" ht="48" customHeight="1" x14ac:dyDescent="0.25">
      <c r="A3" s="10" t="s">
        <v>35</v>
      </c>
      <c r="B3" s="20" t="s">
        <v>36</v>
      </c>
      <c r="C3" s="10"/>
      <c r="D3" s="11" t="s">
        <v>27</v>
      </c>
      <c r="E3" s="11" t="s">
        <v>28</v>
      </c>
      <c r="F3" s="11" t="s">
        <v>29</v>
      </c>
      <c r="G3" s="11" t="s">
        <v>30</v>
      </c>
      <c r="H3" s="11" t="s">
        <v>47</v>
      </c>
    </row>
    <row r="4" spans="1:8" x14ac:dyDescent="0.25">
      <c r="A4" s="12">
        <v>1</v>
      </c>
      <c r="B4" t="s">
        <v>45</v>
      </c>
      <c r="D4" s="9">
        <v>0.1</v>
      </c>
      <c r="E4" s="6">
        <v>9.4299999999999995E-2</v>
      </c>
      <c r="F4" s="6">
        <v>9.4E-2</v>
      </c>
      <c r="G4" s="6">
        <v>9.6699999999999994E-2</v>
      </c>
    </row>
    <row r="5" spans="1:8" x14ac:dyDescent="0.25">
      <c r="A5" s="12">
        <v>2</v>
      </c>
      <c r="B5" t="s">
        <v>38</v>
      </c>
      <c r="C5" t="s">
        <v>26</v>
      </c>
      <c r="D5" s="9">
        <v>0.14000000000000001</v>
      </c>
      <c r="E5" s="6">
        <v>0.128</v>
      </c>
      <c r="F5" s="6">
        <v>0.12770000000000001</v>
      </c>
      <c r="G5" s="6">
        <v>0.1263</v>
      </c>
      <c r="H5" t="s">
        <v>24</v>
      </c>
    </row>
    <row r="6" spans="1:8" x14ac:dyDescent="0.25">
      <c r="A6" s="12">
        <v>3</v>
      </c>
      <c r="B6" t="s">
        <v>39</v>
      </c>
      <c r="C6" t="s">
        <v>33</v>
      </c>
      <c r="D6" s="9">
        <v>0.14000000000000001</v>
      </c>
      <c r="E6" s="6">
        <v>0.1308</v>
      </c>
      <c r="F6" s="6">
        <v>0.1283</v>
      </c>
      <c r="G6" s="6">
        <v>0.13039999999999999</v>
      </c>
      <c r="H6" t="s">
        <v>24</v>
      </c>
    </row>
    <row r="7" spans="1:8" ht="27.6" x14ac:dyDescent="0.25">
      <c r="A7" s="12">
        <v>4</v>
      </c>
      <c r="B7" s="19" t="s">
        <v>40</v>
      </c>
      <c r="C7" s="16" t="s">
        <v>33</v>
      </c>
      <c r="D7" s="17">
        <v>0.18</v>
      </c>
      <c r="E7" s="18">
        <v>0.16</v>
      </c>
      <c r="F7" s="18">
        <v>0.1613</v>
      </c>
      <c r="G7" s="18">
        <v>0.1603</v>
      </c>
      <c r="H7" t="s">
        <v>24</v>
      </c>
    </row>
    <row r="8" spans="1:8" x14ac:dyDescent="0.25">
      <c r="A8" s="36">
        <v>5</v>
      </c>
      <c r="B8" s="35" t="s">
        <v>55</v>
      </c>
      <c r="C8" s="13" t="s">
        <v>31</v>
      </c>
      <c r="D8" s="14" t="s">
        <v>49</v>
      </c>
      <c r="E8" s="15">
        <v>0.12620000000000001</v>
      </c>
      <c r="F8" s="15">
        <v>0.1258</v>
      </c>
      <c r="G8" s="15"/>
      <c r="H8" t="s">
        <v>51</v>
      </c>
    </row>
    <row r="9" spans="1:8" x14ac:dyDescent="0.25">
      <c r="A9" s="36"/>
      <c r="B9" s="35"/>
      <c r="C9" s="13" t="s">
        <v>32</v>
      </c>
      <c r="D9" s="14" t="s">
        <v>50</v>
      </c>
      <c r="E9" s="15">
        <v>4.0800000000000003E-2</v>
      </c>
      <c r="F9" s="15">
        <v>3.95E-2</v>
      </c>
      <c r="G9" s="15"/>
      <c r="H9" t="s">
        <v>52</v>
      </c>
    </row>
    <row r="10" spans="1:8" x14ac:dyDescent="0.25">
      <c r="A10" s="7"/>
      <c r="B10" s="8" t="s">
        <v>34</v>
      </c>
    </row>
    <row r="11" spans="1:8" x14ac:dyDescent="0.25">
      <c r="A11" s="7"/>
      <c r="B11" s="8" t="s">
        <v>53</v>
      </c>
    </row>
    <row r="12" spans="1:8" x14ac:dyDescent="0.25">
      <c r="A12" s="12"/>
      <c r="B12" s="8" t="s">
        <v>54</v>
      </c>
    </row>
    <row r="13" spans="1:8" x14ac:dyDescent="0.25">
      <c r="A13" s="12"/>
      <c r="B13" s="8"/>
    </row>
    <row r="14" spans="1:8" x14ac:dyDescent="0.25">
      <c r="A14" s="7"/>
      <c r="B14" s="8" t="s">
        <v>46</v>
      </c>
    </row>
    <row r="15" spans="1:8" x14ac:dyDescent="0.25">
      <c r="B15" s="8" t="s">
        <v>41</v>
      </c>
    </row>
    <row r="16" spans="1:8" x14ac:dyDescent="0.25">
      <c r="B16" s="8" t="s">
        <v>42</v>
      </c>
    </row>
    <row r="17" spans="2:8" x14ac:dyDescent="0.25">
      <c r="B17" s="8" t="s">
        <v>43</v>
      </c>
    </row>
    <row r="18" spans="2:8" x14ac:dyDescent="0.25">
      <c r="B18" s="8" t="s">
        <v>44</v>
      </c>
    </row>
    <row r="21" spans="2:8" x14ac:dyDescent="0.25">
      <c r="D21" t="s">
        <v>96</v>
      </c>
      <c r="E21" t="s">
        <v>97</v>
      </c>
      <c r="F21" t="s">
        <v>98</v>
      </c>
    </row>
    <row r="22" spans="2:8" x14ac:dyDescent="0.25">
      <c r="C22" t="s">
        <v>99</v>
      </c>
      <c r="D22">
        <v>554</v>
      </c>
      <c r="E22">
        <v>606</v>
      </c>
      <c r="F22">
        <v>501</v>
      </c>
    </row>
    <row r="23" spans="2:8" x14ac:dyDescent="0.25">
      <c r="D23">
        <f>(554-30)/1.12</f>
        <v>467.85714285714283</v>
      </c>
      <c r="E23">
        <f>(606-30)/1.12</f>
        <v>514.28571428571422</v>
      </c>
      <c r="F23">
        <f>(F22-30)/1.12</f>
        <v>420.53571428571422</v>
      </c>
    </row>
    <row r="24" spans="2:8" x14ac:dyDescent="0.25">
      <c r="E24">
        <f>D23/E23</f>
        <v>0.90972222222222232</v>
      </c>
      <c r="F24">
        <f>F23/D23</f>
        <v>0.89885496183206093</v>
      </c>
    </row>
    <row r="27" spans="2:8" x14ac:dyDescent="0.25">
      <c r="C27" t="s">
        <v>105</v>
      </c>
    </row>
    <row r="28" spans="2:8" x14ac:dyDescent="0.25">
      <c r="D28" t="s">
        <v>100</v>
      </c>
      <c r="E28" t="s">
        <v>101</v>
      </c>
      <c r="F28" t="s">
        <v>102</v>
      </c>
      <c r="G28" t="s">
        <v>103</v>
      </c>
      <c r="H28" t="s">
        <v>104</v>
      </c>
    </row>
    <row r="29" spans="2:8" x14ac:dyDescent="0.25">
      <c r="D29">
        <v>674</v>
      </c>
      <c r="E29" s="21">
        <v>715</v>
      </c>
      <c r="F29">
        <v>777</v>
      </c>
      <c r="G29" s="21">
        <v>715</v>
      </c>
      <c r="H29" s="21">
        <v>714</v>
      </c>
    </row>
    <row r="30" spans="2:8" x14ac:dyDescent="0.25">
      <c r="C30" t="s">
        <v>99</v>
      </c>
      <c r="D30">
        <f>(D29-30-49)/1.12</f>
        <v>531.25</v>
      </c>
      <c r="E30">
        <f>ROUND((E29-30-49)/1.12,2)</f>
        <v>567.86</v>
      </c>
      <c r="F30">
        <f>ROUND((F29-30-49)/1.12,2)</f>
        <v>623.21</v>
      </c>
      <c r="G30">
        <f t="shared" ref="G30:H30" si="0">(G29-30-49)/1.12</f>
        <v>567.85714285714278</v>
      </c>
      <c r="H30">
        <f t="shared" si="0"/>
        <v>566.96428571428567</v>
      </c>
    </row>
    <row r="31" spans="2:8" x14ac:dyDescent="0.25">
      <c r="E31">
        <f>E30*0.9</f>
        <v>511.07400000000001</v>
      </c>
      <c r="F31">
        <f>E30*1.1</f>
        <v>624.64600000000007</v>
      </c>
    </row>
    <row r="32" spans="2:8" x14ac:dyDescent="0.25">
      <c r="E32">
        <f>E30*0.96</f>
        <v>545.14559999999994</v>
      </c>
    </row>
  </sheetData>
  <mergeCells count="3">
    <mergeCell ref="B8:B9"/>
    <mergeCell ref="A8:A9"/>
    <mergeCell ref="B2:G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45F5C-9CAA-4994-9191-20FA7A38DA02}">
  <dimension ref="A1:AB89"/>
  <sheetViews>
    <sheetView tabSelected="1" topLeftCell="A33" workbookViewId="0">
      <selection activeCell="E54" sqref="E54"/>
    </sheetView>
  </sheetViews>
  <sheetFormatPr defaultRowHeight="13.8" x14ac:dyDescent="0.25"/>
  <cols>
    <col min="2" max="2" width="13" customWidth="1"/>
    <col min="3" max="3" width="11.6640625" customWidth="1"/>
    <col min="4" max="4" width="11.21875" customWidth="1"/>
    <col min="5" max="5" width="14.44140625" customWidth="1"/>
    <col min="6" max="6" width="10.21875" customWidth="1"/>
    <col min="7" max="7" width="10.77734375" customWidth="1"/>
    <col min="8" max="8" width="6.77734375" customWidth="1"/>
    <col min="10" max="10" width="8.88671875" customWidth="1"/>
    <col min="11" max="11" width="8.6640625" customWidth="1"/>
    <col min="12" max="12" width="8.88671875" customWidth="1"/>
    <col min="13" max="13" width="7.44140625" customWidth="1"/>
    <col min="14" max="14" width="8.88671875" customWidth="1"/>
    <col min="15" max="15" width="7" customWidth="1"/>
    <col min="16" max="16" width="11" customWidth="1"/>
    <col min="17" max="17" width="8.6640625" customWidth="1"/>
    <col min="18" max="18" width="9.21875" customWidth="1"/>
    <col min="19" max="19" width="10.44140625" customWidth="1"/>
  </cols>
  <sheetData>
    <row r="1" spans="2:18" x14ac:dyDescent="0.25">
      <c r="C1" t="s">
        <v>106</v>
      </c>
      <c r="M1" t="s">
        <v>108</v>
      </c>
    </row>
    <row r="2" spans="2:18" x14ac:dyDescent="0.25">
      <c r="B2" t="s">
        <v>109</v>
      </c>
      <c r="C2" t="s">
        <v>5</v>
      </c>
      <c r="D2" t="s">
        <v>10</v>
      </c>
      <c r="E2" t="s">
        <v>107</v>
      </c>
      <c r="F2" t="s">
        <v>10</v>
      </c>
      <c r="H2" t="s">
        <v>106</v>
      </c>
      <c r="I2" t="s">
        <v>110</v>
      </c>
      <c r="M2" t="s">
        <v>136</v>
      </c>
      <c r="O2" t="s">
        <v>20</v>
      </c>
      <c r="Q2" t="s">
        <v>21</v>
      </c>
      <c r="R2" t="s">
        <v>22</v>
      </c>
    </row>
    <row r="3" spans="2:18" x14ac:dyDescent="0.25">
      <c r="B3" s="24">
        <v>39</v>
      </c>
      <c r="C3">
        <v>192</v>
      </c>
      <c r="D3">
        <v>192</v>
      </c>
      <c r="E3">
        <v>0</v>
      </c>
      <c r="F3">
        <v>0</v>
      </c>
      <c r="H3">
        <v>127</v>
      </c>
      <c r="I3">
        <v>127</v>
      </c>
      <c r="M3" s="24">
        <f>O3/0.8</f>
        <v>100</v>
      </c>
      <c r="O3">
        <v>80</v>
      </c>
      <c r="R3">
        <v>60</v>
      </c>
    </row>
    <row r="4" spans="2:18" x14ac:dyDescent="0.25">
      <c r="B4" s="24">
        <v>79</v>
      </c>
      <c r="C4">
        <v>548</v>
      </c>
      <c r="D4">
        <v>548</v>
      </c>
      <c r="E4">
        <v>9</v>
      </c>
      <c r="F4">
        <v>9</v>
      </c>
      <c r="H4">
        <v>238</v>
      </c>
      <c r="I4">
        <v>238</v>
      </c>
      <c r="M4" s="24">
        <v>200</v>
      </c>
      <c r="O4">
        <v>160</v>
      </c>
      <c r="R4">
        <v>120</v>
      </c>
    </row>
    <row r="5" spans="2:18" x14ac:dyDescent="0.25">
      <c r="B5">
        <v>150</v>
      </c>
      <c r="C5">
        <v>935</v>
      </c>
      <c r="D5">
        <v>935</v>
      </c>
      <c r="E5">
        <v>12</v>
      </c>
      <c r="F5">
        <v>12</v>
      </c>
      <c r="M5">
        <f>ROUND(O5/0.8,0)</f>
        <v>441</v>
      </c>
      <c r="O5">
        <v>353</v>
      </c>
    </row>
    <row r="6" spans="2:18" x14ac:dyDescent="0.25">
      <c r="B6" s="23"/>
    </row>
    <row r="7" spans="2:18" x14ac:dyDescent="0.25">
      <c r="B7" s="23"/>
    </row>
    <row r="8" spans="2:18" x14ac:dyDescent="0.25">
      <c r="B8" s="23"/>
    </row>
    <row r="27" spans="1:23" ht="20.399999999999999" customHeight="1" x14ac:dyDescent="0.35">
      <c r="B27" s="25" t="s">
        <v>111</v>
      </c>
      <c r="C27" s="25"/>
      <c r="D27" s="25" t="s">
        <v>118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16.2" x14ac:dyDescent="0.4">
      <c r="B28" s="26" t="s">
        <v>121</v>
      </c>
      <c r="C28" s="26"/>
      <c r="D28" s="26" t="s">
        <v>122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  <c r="R28" s="25"/>
      <c r="S28" s="25"/>
      <c r="T28" s="25"/>
      <c r="U28" s="25"/>
      <c r="V28" s="25"/>
      <c r="W28" s="25"/>
    </row>
    <row r="29" spans="1:23" ht="28.8" customHeight="1" x14ac:dyDescent="0.35">
      <c r="B29" s="25" t="s">
        <v>134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15.6" x14ac:dyDescent="0.35">
      <c r="B30" s="25"/>
      <c r="C30" s="38" t="s">
        <v>24</v>
      </c>
      <c r="D30" s="38"/>
      <c r="E30" s="38"/>
      <c r="F30" s="38"/>
      <c r="G30" s="38"/>
      <c r="H30" s="38"/>
      <c r="I30" s="25"/>
      <c r="J30" s="38" t="s">
        <v>23</v>
      </c>
      <c r="K30" s="38"/>
      <c r="L30" s="38"/>
      <c r="M30" s="38"/>
      <c r="N30" s="38"/>
      <c r="O30" s="38"/>
      <c r="P30" s="25"/>
      <c r="Q30" s="28" t="s">
        <v>24</v>
      </c>
      <c r="R30" s="28"/>
      <c r="S30" s="25"/>
      <c r="T30" s="25"/>
      <c r="U30" s="25"/>
      <c r="V30" s="25"/>
      <c r="W30" s="25"/>
    </row>
    <row r="31" spans="1:23" ht="28.8" customHeight="1" x14ac:dyDescent="0.35">
      <c r="B31" s="25"/>
      <c r="C31" s="29" t="s">
        <v>116</v>
      </c>
      <c r="D31" s="29" t="s">
        <v>117</v>
      </c>
      <c r="E31" s="25" t="s">
        <v>5</v>
      </c>
      <c r="F31" s="25" t="s">
        <v>10</v>
      </c>
      <c r="G31" s="29" t="s">
        <v>131</v>
      </c>
      <c r="H31" s="25" t="s">
        <v>14</v>
      </c>
      <c r="I31" s="29" t="s">
        <v>99</v>
      </c>
      <c r="J31" s="29" t="s">
        <v>120</v>
      </c>
      <c r="K31" s="25" t="s">
        <v>113</v>
      </c>
      <c r="L31" s="25" t="s">
        <v>6</v>
      </c>
      <c r="M31" s="25" t="s">
        <v>114</v>
      </c>
      <c r="N31" s="25" t="s">
        <v>92</v>
      </c>
      <c r="O31" s="25" t="s">
        <v>115</v>
      </c>
      <c r="P31" s="25" t="s">
        <v>112</v>
      </c>
      <c r="Q31" s="25" t="s">
        <v>7</v>
      </c>
      <c r="R31" s="25" t="s">
        <v>8</v>
      </c>
      <c r="S31" s="25" t="s">
        <v>9</v>
      </c>
      <c r="T31" s="25"/>
      <c r="U31" s="25"/>
      <c r="V31" s="25"/>
      <c r="W31" s="25"/>
    </row>
    <row r="32" spans="1:23" ht="15.6" x14ac:dyDescent="0.35">
      <c r="A32" s="33">
        <v>1</v>
      </c>
      <c r="B32" s="25" t="s">
        <v>19</v>
      </c>
      <c r="C32" s="25">
        <v>79</v>
      </c>
      <c r="D32" s="25">
        <v>2.5</v>
      </c>
      <c r="E32" s="25">
        <v>1000</v>
      </c>
      <c r="F32" s="25">
        <v>250</v>
      </c>
      <c r="G32" s="25">
        <v>-5</v>
      </c>
      <c r="H32" s="25">
        <v>2.5</v>
      </c>
      <c r="I32" s="27">
        <f>C32*D32+(E32-F32)+G32+H32</f>
        <v>945</v>
      </c>
      <c r="J32" s="25">
        <v>1</v>
      </c>
      <c r="K32" s="25">
        <v>0.9</v>
      </c>
      <c r="L32" s="25">
        <v>1.25</v>
      </c>
      <c r="M32" s="25">
        <v>1</v>
      </c>
      <c r="N32" s="25">
        <v>1.1399999999999999</v>
      </c>
      <c r="O32" s="25">
        <v>1</v>
      </c>
      <c r="P32" s="27">
        <f>I32*J32*K32*L32*M32*N32*O32</f>
        <v>1211.9624999999999</v>
      </c>
      <c r="Q32" s="25">
        <v>35</v>
      </c>
      <c r="R32" s="25">
        <v>0</v>
      </c>
      <c r="S32" s="27">
        <f>P32+Q32+R32</f>
        <v>1246.9624999999999</v>
      </c>
      <c r="T32" s="25"/>
      <c r="U32" s="25"/>
      <c r="V32" s="25"/>
      <c r="W32" s="25"/>
    </row>
    <row r="33" spans="1:28" ht="15.6" x14ac:dyDescent="0.35">
      <c r="A33" s="33">
        <v>2</v>
      </c>
      <c r="B33" s="25" t="s">
        <v>20</v>
      </c>
      <c r="C33" s="25">
        <v>79</v>
      </c>
      <c r="D33" s="25">
        <v>2.5</v>
      </c>
      <c r="E33" s="25">
        <v>1000</v>
      </c>
      <c r="F33" s="25">
        <v>250</v>
      </c>
      <c r="G33" s="25">
        <v>12</v>
      </c>
      <c r="H33" s="25">
        <v>2.5</v>
      </c>
      <c r="I33" s="27">
        <f t="shared" ref="I33:I36" si="0">C33*D33+(E33-F33)+G33+H33</f>
        <v>962</v>
      </c>
      <c r="J33" s="25">
        <v>1</v>
      </c>
      <c r="K33" s="25">
        <v>0.8</v>
      </c>
      <c r="L33" s="25">
        <v>1.25</v>
      </c>
      <c r="M33" s="25">
        <v>1</v>
      </c>
      <c r="N33" s="25">
        <v>1.1399999999999999</v>
      </c>
      <c r="O33" s="25">
        <v>1</v>
      </c>
      <c r="P33" s="27">
        <f t="shared" ref="P33:P36" si="1">I33*J33*K33*L33*M33*N33*O33</f>
        <v>1096.6799999999998</v>
      </c>
      <c r="Q33" s="25">
        <v>35</v>
      </c>
      <c r="R33" s="25">
        <v>0</v>
      </c>
      <c r="S33" s="27">
        <f t="shared" ref="S33:S36" si="2">P33+Q33+R33</f>
        <v>1131.6799999999998</v>
      </c>
      <c r="T33" s="25"/>
      <c r="U33" s="25"/>
      <c r="V33" s="25"/>
      <c r="W33" s="25"/>
    </row>
    <row r="34" spans="1:28" ht="15.6" x14ac:dyDescent="0.35">
      <c r="A34" s="33">
        <v>3</v>
      </c>
      <c r="B34" s="25" t="s">
        <v>21</v>
      </c>
      <c r="C34" s="25">
        <v>79</v>
      </c>
      <c r="D34" s="25">
        <v>2.5</v>
      </c>
      <c r="E34" s="25">
        <v>1000</v>
      </c>
      <c r="F34" s="25">
        <v>250</v>
      </c>
      <c r="G34" s="25">
        <v>3</v>
      </c>
      <c r="H34" s="25">
        <v>2.5</v>
      </c>
      <c r="I34" s="27">
        <f t="shared" si="0"/>
        <v>953</v>
      </c>
      <c r="J34" s="25">
        <v>1</v>
      </c>
      <c r="K34" s="25">
        <v>0.7</v>
      </c>
      <c r="L34" s="25">
        <v>1.25</v>
      </c>
      <c r="M34" s="25">
        <v>1</v>
      </c>
      <c r="N34" s="25">
        <v>1.1399999999999999</v>
      </c>
      <c r="O34" s="25">
        <v>1</v>
      </c>
      <c r="P34" s="27">
        <f t="shared" si="1"/>
        <v>950.61749999999984</v>
      </c>
      <c r="Q34" s="25">
        <v>35</v>
      </c>
      <c r="R34" s="25">
        <v>0</v>
      </c>
      <c r="S34" s="27">
        <f t="shared" si="2"/>
        <v>985.61749999999984</v>
      </c>
      <c r="T34" s="25"/>
      <c r="U34" s="25"/>
      <c r="V34" s="25"/>
      <c r="W34" s="25"/>
    </row>
    <row r="35" spans="1:28" ht="15.6" x14ac:dyDescent="0.35">
      <c r="A35" s="33">
        <v>4</v>
      </c>
      <c r="B35" s="25" t="s">
        <v>22</v>
      </c>
      <c r="C35" s="25">
        <v>79</v>
      </c>
      <c r="D35" s="25">
        <v>2.5</v>
      </c>
      <c r="E35" s="25">
        <v>1000</v>
      </c>
      <c r="F35" s="25">
        <v>250</v>
      </c>
      <c r="G35" s="25">
        <v>5</v>
      </c>
      <c r="H35" s="25">
        <v>2.5</v>
      </c>
      <c r="I35" s="27">
        <f t="shared" si="0"/>
        <v>955</v>
      </c>
      <c r="J35" s="25">
        <v>1</v>
      </c>
      <c r="K35" s="25">
        <v>0.6</v>
      </c>
      <c r="L35" s="25">
        <v>1.25</v>
      </c>
      <c r="M35" s="25">
        <v>1</v>
      </c>
      <c r="N35" s="25">
        <v>1.1399999999999999</v>
      </c>
      <c r="O35" s="25">
        <v>1</v>
      </c>
      <c r="P35" s="27">
        <f t="shared" si="1"/>
        <v>816.52499999999998</v>
      </c>
      <c r="Q35" s="25">
        <v>35</v>
      </c>
      <c r="R35" s="25">
        <v>0</v>
      </c>
      <c r="S35" s="27">
        <f t="shared" si="2"/>
        <v>851.52499999999998</v>
      </c>
      <c r="T35" s="25"/>
      <c r="U35" s="25"/>
      <c r="V35" s="25"/>
      <c r="W35" s="25"/>
    </row>
    <row r="36" spans="1:28" ht="15.6" x14ac:dyDescent="0.35">
      <c r="A36" s="33">
        <v>5</v>
      </c>
      <c r="B36" s="31" t="s">
        <v>123</v>
      </c>
      <c r="C36" s="25">
        <v>81</v>
      </c>
      <c r="D36" s="25">
        <v>2.5</v>
      </c>
      <c r="E36" s="25">
        <f>1045+20</f>
        <v>1065</v>
      </c>
      <c r="F36" s="25">
        <v>250</v>
      </c>
      <c r="G36" s="25">
        <v>0</v>
      </c>
      <c r="H36" s="25">
        <v>2.5</v>
      </c>
      <c r="I36" s="27">
        <f t="shared" si="0"/>
        <v>1020</v>
      </c>
      <c r="J36" s="25">
        <v>1</v>
      </c>
      <c r="K36" s="25">
        <v>0.6</v>
      </c>
      <c r="L36" s="25">
        <v>1.25</v>
      </c>
      <c r="M36" s="25">
        <v>1</v>
      </c>
      <c r="N36" s="25">
        <v>1.1399999999999999</v>
      </c>
      <c r="O36" s="25">
        <v>1.1000000000000001</v>
      </c>
      <c r="P36" s="27">
        <f t="shared" si="1"/>
        <v>959.31</v>
      </c>
      <c r="Q36" s="25">
        <v>35</v>
      </c>
      <c r="R36" s="25">
        <f>49+20</f>
        <v>69</v>
      </c>
      <c r="S36" s="27">
        <f t="shared" si="2"/>
        <v>1063.31</v>
      </c>
      <c r="T36" s="25"/>
      <c r="U36" s="25"/>
      <c r="V36" s="25"/>
      <c r="W36" s="25"/>
    </row>
    <row r="37" spans="1:28" ht="15.6" x14ac:dyDescent="0.35">
      <c r="B37" s="29"/>
      <c r="C37" s="25"/>
      <c r="D37" s="25"/>
      <c r="E37" s="25"/>
      <c r="F37" s="25"/>
      <c r="G37" s="25"/>
      <c r="H37" s="25"/>
      <c r="I37" s="27"/>
      <c r="J37" s="25"/>
      <c r="K37" s="25"/>
      <c r="L37" s="25"/>
      <c r="M37" s="25"/>
      <c r="N37" s="25"/>
      <c r="O37" s="25"/>
      <c r="P37" s="27"/>
      <c r="Q37" s="25"/>
      <c r="R37" s="25"/>
      <c r="S37" s="27"/>
      <c r="T37" s="25"/>
      <c r="U37" s="25"/>
      <c r="V37" s="25"/>
      <c r="W37" s="25"/>
      <c r="Y37">
        <f t="shared" ref="Y37" si="3">(U37-45)/1.18/0.9</f>
        <v>-42.372881355932201</v>
      </c>
      <c r="Z37">
        <f t="shared" ref="Z37" si="4">(V37-45)/1.18/0.9</f>
        <v>-42.372881355932201</v>
      </c>
      <c r="AA37">
        <f t="shared" ref="AA37" si="5">X37-Y37</f>
        <v>42.372881355932201</v>
      </c>
      <c r="AB37" t="e">
        <f>AA37/#REF!</f>
        <v>#REF!</v>
      </c>
    </row>
    <row r="38" spans="1:28" ht="15.6" x14ac:dyDescent="0.35">
      <c r="B38" s="29"/>
      <c r="C38" s="25">
        <v>81</v>
      </c>
      <c r="D38" s="25">
        <v>2.5</v>
      </c>
      <c r="E38" s="25">
        <v>1000</v>
      </c>
      <c r="F38" s="25">
        <v>250</v>
      </c>
      <c r="G38" s="25">
        <v>5</v>
      </c>
      <c r="H38" s="25">
        <v>2.5</v>
      </c>
      <c r="I38" s="27">
        <f t="shared" ref="I38" si="6">C38*D38+(E38-F38)+G38+H38</f>
        <v>960</v>
      </c>
      <c r="J38" s="25">
        <v>1</v>
      </c>
      <c r="K38" s="25">
        <v>0.6</v>
      </c>
      <c r="L38" s="25">
        <v>1.25</v>
      </c>
      <c r="M38" s="25">
        <v>1</v>
      </c>
      <c r="N38" s="25">
        <v>1.1399999999999999</v>
      </c>
      <c r="O38" s="25">
        <v>1.1000000000000001</v>
      </c>
      <c r="P38" s="27">
        <f t="shared" ref="P38" si="7">I38*J38*K38*L38*M38*N38*O38</f>
        <v>902.88</v>
      </c>
      <c r="Q38" s="25">
        <v>35</v>
      </c>
      <c r="R38" s="25">
        <v>0</v>
      </c>
      <c r="S38" s="27">
        <f t="shared" ref="S38" si="8">P38+Q38+R38</f>
        <v>937.88</v>
      </c>
      <c r="T38" s="25"/>
      <c r="U38" s="25"/>
      <c r="V38" s="25"/>
      <c r="W38" s="25"/>
      <c r="Y38">
        <f t="shared" ref="Y38:Y40" si="9">(U38-45)/1.18/0.9</f>
        <v>-42.372881355932201</v>
      </c>
      <c r="Z38">
        <f t="shared" ref="Z38:Z40" si="10">(V38-45)/1.18/0.9</f>
        <v>-42.372881355932201</v>
      </c>
      <c r="AA38">
        <f t="shared" ref="AA38:AA40" si="11">X38-Y38</f>
        <v>42.372881355932201</v>
      </c>
      <c r="AB38" t="e">
        <f t="shared" ref="AB38:AB40" si="12">AA38/E37</f>
        <v>#DIV/0!</v>
      </c>
    </row>
    <row r="39" spans="1:28" ht="15.6" x14ac:dyDescent="0.35">
      <c r="B39" s="29"/>
      <c r="C39" s="25"/>
      <c r="D39" s="25"/>
      <c r="E39" s="25"/>
      <c r="F39" s="25"/>
      <c r="G39" s="25"/>
      <c r="H39" s="25"/>
      <c r="I39" s="27"/>
      <c r="J39" s="25"/>
      <c r="K39" s="25"/>
      <c r="L39" s="25"/>
      <c r="M39" s="25"/>
      <c r="N39" s="25"/>
      <c r="O39" s="25"/>
      <c r="P39" s="27"/>
      <c r="Q39" s="25"/>
      <c r="R39" s="25"/>
      <c r="S39" s="27"/>
      <c r="T39" s="25"/>
      <c r="U39" s="25"/>
      <c r="V39" s="25"/>
      <c r="W39" s="25"/>
      <c r="Y39">
        <f t="shared" si="9"/>
        <v>-42.372881355932201</v>
      </c>
      <c r="Z39">
        <f t="shared" si="10"/>
        <v>-42.372881355932201</v>
      </c>
      <c r="AA39">
        <f t="shared" si="11"/>
        <v>42.372881355932201</v>
      </c>
      <c r="AB39">
        <f t="shared" si="12"/>
        <v>4.2372881355932202E-2</v>
      </c>
    </row>
    <row r="40" spans="1:28" ht="15.6" x14ac:dyDescent="0.35">
      <c r="B40" s="29"/>
      <c r="C40" s="25"/>
      <c r="D40" s="25"/>
      <c r="E40" s="25"/>
      <c r="F40" s="25"/>
      <c r="G40" s="25"/>
      <c r="H40" s="25"/>
      <c r="I40" s="27"/>
      <c r="J40" s="25"/>
      <c r="K40" s="25"/>
      <c r="L40" s="25"/>
      <c r="M40" s="25"/>
      <c r="N40" s="25"/>
      <c r="O40" s="25"/>
      <c r="P40" s="27"/>
      <c r="Q40" s="25"/>
      <c r="R40" s="25"/>
      <c r="S40" s="27"/>
      <c r="T40" s="25"/>
      <c r="U40" s="25"/>
      <c r="V40" s="25"/>
      <c r="W40" s="25"/>
      <c r="Y40">
        <f t="shared" si="9"/>
        <v>-42.372881355932201</v>
      </c>
      <c r="Z40">
        <f t="shared" si="10"/>
        <v>-42.372881355932201</v>
      </c>
      <c r="AA40">
        <f t="shared" si="11"/>
        <v>42.372881355932201</v>
      </c>
      <c r="AB40" t="e">
        <f t="shared" si="12"/>
        <v>#DIV/0!</v>
      </c>
    </row>
    <row r="41" spans="1:28" ht="15.6" x14ac:dyDescent="0.35">
      <c r="B41" s="29"/>
      <c r="C41" s="25"/>
      <c r="D41" s="25"/>
      <c r="E41" s="25"/>
      <c r="F41" s="25"/>
      <c r="G41" s="25"/>
      <c r="H41" s="25"/>
      <c r="I41" s="27"/>
      <c r="J41" s="25"/>
      <c r="K41" s="25"/>
      <c r="L41" s="25"/>
      <c r="M41" s="25"/>
      <c r="N41" s="25"/>
      <c r="O41" s="25"/>
      <c r="P41" s="27"/>
      <c r="Q41" s="25"/>
      <c r="R41" s="25"/>
      <c r="S41" s="27"/>
      <c r="T41" s="25"/>
      <c r="U41" s="25"/>
      <c r="V41" s="25"/>
      <c r="W41" s="25"/>
      <c r="Z41">
        <f>40/12</f>
        <v>3.3333333333333335</v>
      </c>
    </row>
    <row r="42" spans="1:28" ht="15.6" x14ac:dyDescent="0.35">
      <c r="B42" s="29"/>
      <c r="C42" s="25"/>
      <c r="D42" s="25"/>
      <c r="E42" s="25"/>
      <c r="F42" s="25"/>
      <c r="G42" s="25"/>
      <c r="H42" s="25"/>
      <c r="I42" s="27"/>
      <c r="J42" s="25"/>
      <c r="K42" s="25"/>
      <c r="L42" s="25"/>
      <c r="M42" s="25"/>
      <c r="N42" s="25"/>
      <c r="O42" s="25"/>
      <c r="P42" s="27"/>
      <c r="Q42" s="25"/>
      <c r="R42" s="25"/>
      <c r="S42" s="27"/>
      <c r="T42" s="25"/>
      <c r="U42" s="25"/>
      <c r="V42" s="25"/>
      <c r="W42" s="25"/>
      <c r="Y42">
        <f>40/12</f>
        <v>3.3333333333333335</v>
      </c>
    </row>
    <row r="43" spans="1:28" ht="15.6" x14ac:dyDescent="0.35">
      <c r="B43" s="29"/>
      <c r="C43" s="25"/>
      <c r="D43" s="25"/>
      <c r="E43" s="25"/>
      <c r="F43" s="25"/>
      <c r="G43" s="25"/>
      <c r="H43" s="25"/>
      <c r="I43" s="27"/>
      <c r="J43" s="25"/>
      <c r="K43" s="25"/>
      <c r="L43" s="25"/>
      <c r="M43" s="25"/>
      <c r="N43" s="25"/>
      <c r="O43" s="25"/>
      <c r="P43" s="27"/>
      <c r="Q43" s="25"/>
      <c r="R43" s="25"/>
      <c r="S43" s="27"/>
      <c r="T43" s="25"/>
      <c r="U43" s="25"/>
      <c r="V43" s="25"/>
      <c r="W43" s="25"/>
    </row>
    <row r="44" spans="1:28" ht="15.6" x14ac:dyDescent="0.35">
      <c r="B44" s="29"/>
      <c r="C44" s="25"/>
      <c r="D44" s="25"/>
      <c r="E44" s="25"/>
      <c r="F44" s="25"/>
      <c r="G44" s="25"/>
      <c r="H44" s="25"/>
      <c r="I44" s="27"/>
      <c r="J44" s="25"/>
      <c r="K44" s="25"/>
      <c r="L44" s="25"/>
      <c r="M44" s="25"/>
      <c r="N44" s="25"/>
      <c r="O44" s="25"/>
      <c r="P44" s="27"/>
      <c r="Q44" s="25"/>
      <c r="R44" s="25"/>
      <c r="S44" s="27"/>
      <c r="T44" s="25"/>
      <c r="U44" s="25"/>
      <c r="V44" s="25"/>
      <c r="W44" s="25"/>
    </row>
    <row r="45" spans="1:28" ht="15.6" x14ac:dyDescent="0.35">
      <c r="B45" s="29"/>
      <c r="C45" s="25"/>
      <c r="D45" s="25"/>
      <c r="E45" s="25"/>
      <c r="F45" s="25"/>
      <c r="G45" s="25"/>
      <c r="H45" s="25"/>
      <c r="I45" s="27"/>
      <c r="J45" s="25"/>
      <c r="K45" s="25"/>
      <c r="L45" s="25"/>
      <c r="M45" s="25"/>
      <c r="N45" s="25"/>
      <c r="O45" s="25"/>
      <c r="P45" s="27"/>
      <c r="Q45" s="25"/>
      <c r="R45" s="25"/>
      <c r="S45" s="27"/>
      <c r="T45" s="25"/>
      <c r="U45" s="25"/>
      <c r="V45" s="25"/>
      <c r="W45" s="25"/>
    </row>
    <row r="46" spans="1:28" ht="15.6" x14ac:dyDescent="0.35">
      <c r="B46" s="29" t="s">
        <v>139</v>
      </c>
      <c r="C46" s="25" t="s">
        <v>137</v>
      </c>
      <c r="D46" s="25" t="s">
        <v>138</v>
      </c>
      <c r="E46" s="25" t="s">
        <v>140</v>
      </c>
      <c r="F46" s="25"/>
      <c r="G46" s="25"/>
      <c r="H46" s="25"/>
      <c r="I46" s="27"/>
      <c r="J46" s="25"/>
      <c r="K46" s="25"/>
      <c r="L46" s="25"/>
      <c r="M46" s="25"/>
      <c r="N46" s="25"/>
      <c r="O46" s="25"/>
      <c r="P46" s="27"/>
      <c r="Q46" s="25"/>
      <c r="R46" s="25"/>
      <c r="S46" s="27"/>
      <c r="T46" s="25"/>
      <c r="U46" s="25"/>
      <c r="V46" s="25"/>
      <c r="W46" s="25"/>
    </row>
    <row r="47" spans="1:28" ht="15.6" x14ac:dyDescent="0.35">
      <c r="B47" s="29"/>
      <c r="C47" s="25">
        <v>585</v>
      </c>
      <c r="D47" s="25">
        <v>457</v>
      </c>
      <c r="E47" s="25" t="s">
        <v>141</v>
      </c>
      <c r="F47" s="25"/>
      <c r="G47" s="25"/>
      <c r="H47" s="25"/>
      <c r="I47" s="27"/>
      <c r="J47" s="25"/>
      <c r="K47" s="25"/>
      <c r="L47" s="25"/>
      <c r="M47" s="25"/>
      <c r="N47" s="25"/>
      <c r="O47" s="25"/>
      <c r="P47" s="27"/>
      <c r="Q47" s="25"/>
      <c r="R47" s="25"/>
      <c r="S47" s="27"/>
      <c r="T47" s="25"/>
      <c r="U47" s="25"/>
      <c r="V47" s="25"/>
      <c r="W47" s="25"/>
    </row>
    <row r="48" spans="1:28" ht="15.6" x14ac:dyDescent="0.35">
      <c r="B48" s="25" t="s">
        <v>142</v>
      </c>
      <c r="C48" s="25" t="s">
        <v>137</v>
      </c>
      <c r="D48" s="25" t="s">
        <v>138</v>
      </c>
      <c r="E48" s="25" t="s">
        <v>143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2:23" ht="15.6" x14ac:dyDescent="0.35">
      <c r="B49" s="25"/>
      <c r="C49" s="25">
        <v>682</v>
      </c>
      <c r="D49" s="25">
        <v>554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2:23" ht="15.6" x14ac:dyDescent="0.35">
      <c r="B50" s="25"/>
      <c r="C50" s="25">
        <v>685</v>
      </c>
      <c r="D50" s="25">
        <v>530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2:23" ht="15.6" x14ac:dyDescent="0.35">
      <c r="B51" s="25"/>
      <c r="C51" s="25">
        <v>687</v>
      </c>
      <c r="D51" s="25">
        <v>559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2:23" ht="15.6" x14ac:dyDescent="0.35">
      <c r="B52" s="25"/>
      <c r="C52" s="25">
        <v>685</v>
      </c>
      <c r="D52" s="25">
        <v>557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2:23" ht="15.6" x14ac:dyDescent="0.35">
      <c r="B53" s="25" t="s">
        <v>144</v>
      </c>
      <c r="C53" s="25">
        <f>SUM(C49:C52)/4</f>
        <v>684.75</v>
      </c>
      <c r="D53" s="25">
        <f>SUM(D49:D52)/4</f>
        <v>550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2:23" ht="15.6" x14ac:dyDescent="0.35">
      <c r="B54" s="25" t="s">
        <v>145</v>
      </c>
      <c r="C54" s="25">
        <f>C53-C47</f>
        <v>99.75</v>
      </c>
      <c r="D54" s="25">
        <f>D53-D47</f>
        <v>93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2:23" ht="15.6" x14ac:dyDescent="0.3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2:23" ht="15.6" x14ac:dyDescent="0.3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2:23" ht="15.6" x14ac:dyDescent="0.35">
      <c r="B57" s="32" t="s">
        <v>135</v>
      </c>
      <c r="C57" s="32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2:23" ht="15.6" x14ac:dyDescent="0.35">
      <c r="B58" s="25" t="s">
        <v>56</v>
      </c>
      <c r="C58" s="25"/>
      <c r="D58" s="25" t="s">
        <v>127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2:23" ht="16.2" x14ac:dyDescent="0.4">
      <c r="B59" s="30" t="s">
        <v>124</v>
      </c>
      <c r="C59" s="30"/>
      <c r="D59" s="30" t="s">
        <v>128</v>
      </c>
      <c r="E59" s="30"/>
      <c r="F59" s="30"/>
      <c r="G59" s="30"/>
      <c r="H59" s="30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2:23" ht="16.2" x14ac:dyDescent="0.4">
      <c r="B60" s="26" t="s">
        <v>121</v>
      </c>
      <c r="C60" s="26"/>
      <c r="D60" s="26" t="s">
        <v>129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5"/>
      <c r="U60" s="25"/>
      <c r="V60" s="25"/>
      <c r="W60" s="25"/>
    </row>
    <row r="61" spans="2:23" ht="15.6" x14ac:dyDescent="0.3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</row>
    <row r="62" spans="2:23" ht="15.6" x14ac:dyDescent="0.35">
      <c r="B62" s="25"/>
      <c r="C62" s="38" t="s">
        <v>24</v>
      </c>
      <c r="D62" s="38"/>
      <c r="E62" s="38"/>
      <c r="F62" s="38"/>
      <c r="G62" s="38"/>
      <c r="H62" s="38"/>
      <c r="I62" s="38"/>
      <c r="J62" s="38"/>
      <c r="K62" s="25"/>
      <c r="L62" s="38" t="s">
        <v>23</v>
      </c>
      <c r="M62" s="38"/>
      <c r="N62" s="38"/>
      <c r="O62" s="38"/>
      <c r="P62" s="38"/>
      <c r="Q62" s="38"/>
      <c r="R62" s="38"/>
      <c r="S62" s="25"/>
      <c r="T62" s="38" t="s">
        <v>24</v>
      </c>
      <c r="U62" s="38"/>
      <c r="V62" s="25"/>
      <c r="W62" s="25"/>
    </row>
    <row r="63" spans="2:23" ht="31.2" x14ac:dyDescent="0.35">
      <c r="B63" s="25"/>
      <c r="C63" s="25" t="s">
        <v>14</v>
      </c>
      <c r="D63" s="29" t="s">
        <v>126</v>
      </c>
      <c r="E63" s="29" t="s">
        <v>14</v>
      </c>
      <c r="F63" s="25" t="s">
        <v>109</v>
      </c>
      <c r="G63" s="25" t="s">
        <v>5</v>
      </c>
      <c r="H63" s="25" t="s">
        <v>10</v>
      </c>
      <c r="I63" s="29" t="s">
        <v>119</v>
      </c>
      <c r="J63" s="25" t="s">
        <v>14</v>
      </c>
      <c r="K63" s="29" t="s">
        <v>99</v>
      </c>
      <c r="L63" s="29" t="s">
        <v>120</v>
      </c>
      <c r="M63" s="25" t="s">
        <v>113</v>
      </c>
      <c r="N63" s="25" t="s">
        <v>6</v>
      </c>
      <c r="O63" s="25" t="s">
        <v>114</v>
      </c>
      <c r="P63" s="25" t="s">
        <v>92</v>
      </c>
      <c r="Q63" s="25" t="s">
        <v>115</v>
      </c>
      <c r="R63" s="25" t="s">
        <v>125</v>
      </c>
      <c r="S63" s="25" t="s">
        <v>112</v>
      </c>
      <c r="T63" s="25" t="s">
        <v>7</v>
      </c>
      <c r="U63" s="25" t="s">
        <v>8</v>
      </c>
      <c r="V63" s="25" t="s">
        <v>9</v>
      </c>
      <c r="W63" s="25"/>
    </row>
    <row r="64" spans="2:23" ht="15.6" x14ac:dyDescent="0.35">
      <c r="B64" s="25" t="s">
        <v>19</v>
      </c>
      <c r="C64" s="25">
        <v>0.01</v>
      </c>
      <c r="D64" s="25">
        <f>79*2</f>
        <v>158</v>
      </c>
      <c r="E64" s="25">
        <v>1.59</v>
      </c>
      <c r="F64" s="25">
        <v>79</v>
      </c>
      <c r="G64" s="25">
        <v>870</v>
      </c>
      <c r="H64" s="25">
        <v>789</v>
      </c>
      <c r="I64" s="25">
        <v>0</v>
      </c>
      <c r="J64" s="25">
        <v>50</v>
      </c>
      <c r="K64" s="27">
        <f>C64*D64+E64*F64+G64-H64+I64+J64</f>
        <v>258.19000000000005</v>
      </c>
      <c r="L64" s="25">
        <v>1</v>
      </c>
      <c r="M64" s="25">
        <v>1.25</v>
      </c>
      <c r="N64" s="25">
        <v>1</v>
      </c>
      <c r="O64" s="25">
        <v>1</v>
      </c>
      <c r="P64" s="25">
        <v>1</v>
      </c>
      <c r="Q64" s="25">
        <v>1</v>
      </c>
      <c r="R64" s="25">
        <v>1</v>
      </c>
      <c r="S64" s="27">
        <f>K64*L64*M64*N64*O64*P64*Q64*R64</f>
        <v>322.73750000000007</v>
      </c>
      <c r="T64" s="25">
        <v>0</v>
      </c>
      <c r="U64" s="25">
        <v>0</v>
      </c>
      <c r="V64" s="27">
        <f>S64+T64+U64</f>
        <v>322.73750000000007</v>
      </c>
      <c r="W64" s="25"/>
    </row>
    <row r="65" spans="2:23" ht="15.6" x14ac:dyDescent="0.35">
      <c r="B65" s="29" t="s">
        <v>123</v>
      </c>
      <c r="C65" s="25">
        <v>0.01</v>
      </c>
      <c r="D65" s="25">
        <f>79*2</f>
        <v>158</v>
      </c>
      <c r="E65" s="25">
        <v>1.52</v>
      </c>
      <c r="F65" s="25">
        <v>79</v>
      </c>
      <c r="G65" s="25">
        <f>548+20</f>
        <v>568</v>
      </c>
      <c r="H65" s="25">
        <v>504</v>
      </c>
      <c r="I65" s="25">
        <v>4</v>
      </c>
      <c r="J65" s="25">
        <v>52</v>
      </c>
      <c r="K65" s="27">
        <f>C65*D65+E65*F65+G65-H65+I65+J65</f>
        <v>241.65999999999997</v>
      </c>
      <c r="L65" s="25">
        <v>1</v>
      </c>
      <c r="M65" s="25">
        <v>1.3</v>
      </c>
      <c r="N65" s="25">
        <v>1</v>
      </c>
      <c r="O65" s="25">
        <v>1</v>
      </c>
      <c r="P65" s="25">
        <v>1</v>
      </c>
      <c r="Q65" s="25">
        <v>1</v>
      </c>
      <c r="R65" s="25">
        <v>1.3</v>
      </c>
      <c r="S65" s="27">
        <f>K65*L65*M65*N65*O65*P65*Q65*R65</f>
        <v>408.40539999999999</v>
      </c>
      <c r="T65" s="25">
        <v>0</v>
      </c>
      <c r="U65" s="25">
        <v>0</v>
      </c>
      <c r="V65" s="27">
        <f t="shared" ref="V65" si="13">S65+T65+U65</f>
        <v>408.40539999999999</v>
      </c>
      <c r="W65" s="25"/>
    </row>
    <row r="66" spans="2:23" ht="15.6" x14ac:dyDescent="0.3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2:23" x14ac:dyDescent="0.25">
      <c r="S67">
        <v>316</v>
      </c>
    </row>
    <row r="69" spans="2:23" x14ac:dyDescent="0.25">
      <c r="S69">
        <v>478</v>
      </c>
    </row>
    <row r="70" spans="2:23" x14ac:dyDescent="0.25">
      <c r="B70" t="s">
        <v>132</v>
      </c>
      <c r="C70" t="s">
        <v>133</v>
      </c>
    </row>
    <row r="77" spans="2:23" x14ac:dyDescent="0.25">
      <c r="G77">
        <v>17</v>
      </c>
    </row>
    <row r="78" spans="2:23" x14ac:dyDescent="0.25">
      <c r="G78">
        <v>-6</v>
      </c>
    </row>
    <row r="79" spans="2:23" x14ac:dyDescent="0.25">
      <c r="G79">
        <v>20</v>
      </c>
    </row>
    <row r="80" spans="2:23" x14ac:dyDescent="0.25">
      <c r="G80">
        <v>4</v>
      </c>
    </row>
    <row r="81" spans="7:7" x14ac:dyDescent="0.25">
      <c r="G81">
        <v>-5</v>
      </c>
    </row>
    <row r="82" spans="7:7" x14ac:dyDescent="0.25">
      <c r="G82">
        <v>-2</v>
      </c>
    </row>
    <row r="83" spans="7:7" x14ac:dyDescent="0.25">
      <c r="G83">
        <v>0</v>
      </c>
    </row>
    <row r="84" spans="7:7" x14ac:dyDescent="0.25">
      <c r="G84">
        <v>10</v>
      </c>
    </row>
    <row r="85" spans="7:7" x14ac:dyDescent="0.25">
      <c r="G85">
        <v>3</v>
      </c>
    </row>
    <row r="86" spans="7:7" x14ac:dyDescent="0.25">
      <c r="G86">
        <v>4</v>
      </c>
    </row>
    <row r="87" spans="7:7" x14ac:dyDescent="0.25">
      <c r="G87">
        <v>5</v>
      </c>
    </row>
    <row r="88" spans="7:7" x14ac:dyDescent="0.25">
      <c r="G88">
        <v>4</v>
      </c>
    </row>
    <row r="89" spans="7:7" x14ac:dyDescent="0.25">
      <c r="G89">
        <v>7</v>
      </c>
    </row>
  </sheetData>
  <mergeCells count="5">
    <mergeCell ref="C62:J62"/>
    <mergeCell ref="L62:R62"/>
    <mergeCell ref="T62:U62"/>
    <mergeCell ref="C30:H30"/>
    <mergeCell ref="J30:O30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卢家大少</dc:creator>
  <cp:lastModifiedBy>卢家大少</cp:lastModifiedBy>
  <dcterms:created xsi:type="dcterms:W3CDTF">2015-06-05T18:19:34Z</dcterms:created>
  <dcterms:modified xsi:type="dcterms:W3CDTF">2022-08-20T02:16:16Z</dcterms:modified>
</cp:coreProperties>
</file>